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0" windowWidth="12390" windowHeight="8910"/>
  </bookViews>
  <sheets>
    <sheet name="Title" sheetId="4" r:id="rId1"/>
    <sheet name="Balance Sheet" sheetId="40" r:id="rId2"/>
    <sheet name="Income_Expense Summary" sheetId="41" r:id="rId3"/>
    <sheet name="P&amp;L YTD" sheetId="42" r:id="rId4"/>
    <sheet name="P&amp;L Month " sheetId="39" r:id="rId5"/>
    <sheet name="Balance Sheet (2)" sheetId="38" state="hidden" r:id="rId6"/>
    <sheet name="Revs &amp; Exps" sheetId="7" state="hidden" r:id="rId7"/>
    <sheet name="Net Revs" sheetId="8" state="hidden" r:id="rId8"/>
    <sheet name="Cash Flow (2)" sheetId="6" state="hidden" r:id="rId9"/>
    <sheet name="Pledge by Week" sheetId="12" state="hidden" r:id="rId10"/>
    <sheet name="Pledge By Month" sheetId="13" state="hidden" r:id="rId11"/>
    <sheet name="Cumm Pledge" sheetId="14" state="hidden" r:id="rId12"/>
    <sheet name="2003_4_5YTD" sheetId="26" state="hidden" r:id="rId13"/>
  </sheets>
  <definedNames>
    <definedName name="_xlnm.Print_Area" localSheetId="8">'Cash Flow (2)'!$A$1:$M$52</definedName>
    <definedName name="_xlnm.Print_Area" localSheetId="0">Title!$A$1:$A$21</definedName>
  </definedNames>
  <calcPr calcId="145621"/>
</workbook>
</file>

<file path=xl/calcChain.xml><?xml version="1.0" encoding="utf-8"?>
<calcChain xmlns="http://schemas.openxmlformats.org/spreadsheetml/2006/main">
  <c r="F18" i="41" l="1"/>
  <c r="D18" i="41"/>
  <c r="F16" i="41"/>
  <c r="D16" i="41"/>
  <c r="F14" i="41"/>
  <c r="D14" i="41"/>
  <c r="F12" i="41"/>
  <c r="D12" i="41"/>
  <c r="F10" i="41"/>
  <c r="D10" i="41"/>
  <c r="D29" i="41"/>
  <c r="F29" i="41"/>
  <c r="F27" i="41"/>
  <c r="D27" i="41"/>
  <c r="D20" i="41"/>
  <c r="H33" i="41" l="1"/>
  <c r="H29" i="41"/>
  <c r="H27" i="41"/>
  <c r="H20" i="41"/>
  <c r="H18" i="41"/>
  <c r="H14" i="41"/>
  <c r="J33" i="41"/>
  <c r="J29" i="41"/>
  <c r="J27" i="41"/>
  <c r="J20" i="41"/>
  <c r="J18" i="41"/>
  <c r="J14" i="41"/>
  <c r="J35" i="41" l="1"/>
  <c r="J22" i="41"/>
  <c r="J38" i="41" s="1"/>
  <c r="H35" i="41"/>
  <c r="H22" i="41"/>
  <c r="H38" i="41" l="1"/>
  <c r="B79" i="42"/>
  <c r="C79" i="42"/>
  <c r="B50" i="42"/>
  <c r="C49" i="42" l="1"/>
  <c r="B49" i="42"/>
  <c r="D76" i="39"/>
  <c r="C89" i="42" l="1"/>
  <c r="B48" i="39"/>
  <c r="D101" i="42" l="1"/>
  <c r="D100" i="39"/>
  <c r="D35" i="40"/>
  <c r="C35" i="40"/>
  <c r="D29" i="40"/>
  <c r="C29" i="40"/>
  <c r="D21" i="40"/>
  <c r="C21" i="40"/>
  <c r="D14" i="40"/>
  <c r="C14" i="40"/>
  <c r="C41" i="40" l="1"/>
  <c r="D41" i="40"/>
  <c r="B39" i="39"/>
  <c r="C113" i="42" l="1"/>
  <c r="C114" i="42" s="1"/>
  <c r="B113" i="42"/>
  <c r="B114" i="42" s="1"/>
  <c r="E112" i="42"/>
  <c r="D112" i="42"/>
  <c r="E111" i="42"/>
  <c r="D111" i="42"/>
  <c r="E110" i="42"/>
  <c r="D110" i="42"/>
  <c r="E109" i="42"/>
  <c r="D109" i="42"/>
  <c r="C104" i="42"/>
  <c r="B104" i="42"/>
  <c r="D103" i="42"/>
  <c r="D102" i="42"/>
  <c r="E100" i="42"/>
  <c r="D100" i="42"/>
  <c r="E99" i="42"/>
  <c r="D99" i="42"/>
  <c r="E97" i="42"/>
  <c r="D97" i="42"/>
  <c r="C96" i="42"/>
  <c r="B96" i="42"/>
  <c r="D95" i="42"/>
  <c r="D94" i="42"/>
  <c r="D93" i="42"/>
  <c r="E90" i="42"/>
  <c r="D90" i="42"/>
  <c r="B89" i="42"/>
  <c r="E88" i="42"/>
  <c r="D88" i="42"/>
  <c r="E87" i="42"/>
  <c r="D87" i="42"/>
  <c r="E86" i="42"/>
  <c r="D86" i="42"/>
  <c r="D84" i="42"/>
  <c r="C83" i="42"/>
  <c r="B83" i="42"/>
  <c r="E82" i="42"/>
  <c r="D82" i="42"/>
  <c r="D81" i="42"/>
  <c r="D80" i="42"/>
  <c r="D77" i="42"/>
  <c r="D74" i="42"/>
  <c r="E73" i="42"/>
  <c r="D73" i="42"/>
  <c r="E72" i="42"/>
  <c r="D72" i="42"/>
  <c r="C70" i="42"/>
  <c r="B70" i="42"/>
  <c r="E69" i="42"/>
  <c r="D69" i="42"/>
  <c r="D68" i="42"/>
  <c r="D67" i="42"/>
  <c r="E66" i="42"/>
  <c r="D66" i="42"/>
  <c r="C64" i="42"/>
  <c r="B64" i="42"/>
  <c r="D63" i="42"/>
  <c r="D62" i="42"/>
  <c r="E61" i="42"/>
  <c r="D61" i="42"/>
  <c r="E60" i="42"/>
  <c r="D60" i="42"/>
  <c r="E59" i="42"/>
  <c r="D59" i="42"/>
  <c r="E58" i="42"/>
  <c r="D58" i="42"/>
  <c r="C56" i="42"/>
  <c r="B56" i="42"/>
  <c r="D55" i="42"/>
  <c r="E49" i="42"/>
  <c r="D49" i="42"/>
  <c r="D48" i="42"/>
  <c r="C40" i="42"/>
  <c r="C43" i="42" s="1"/>
  <c r="B40" i="42"/>
  <c r="B43" i="42" s="1"/>
  <c r="E39" i="42"/>
  <c r="D39" i="42"/>
  <c r="E38" i="42"/>
  <c r="D38" i="42"/>
  <c r="E37" i="42"/>
  <c r="D37" i="42"/>
  <c r="E36" i="42"/>
  <c r="D36" i="42"/>
  <c r="D33" i="42"/>
  <c r="C29" i="42"/>
  <c r="B29" i="42"/>
  <c r="E28" i="42"/>
  <c r="D28" i="42"/>
  <c r="D29" i="42" s="1"/>
  <c r="D25" i="42"/>
  <c r="C25" i="42"/>
  <c r="B25" i="42"/>
  <c r="E17" i="42"/>
  <c r="D17" i="42"/>
  <c r="C16" i="42"/>
  <c r="B16" i="42"/>
  <c r="B19" i="42" s="1"/>
  <c r="E14" i="42"/>
  <c r="D14" i="42"/>
  <c r="D8" i="42"/>
  <c r="D7" i="42"/>
  <c r="C31" i="42" l="1"/>
  <c r="D64" i="42"/>
  <c r="D79" i="42"/>
  <c r="D96" i="42"/>
  <c r="C19" i="42"/>
  <c r="C32" i="42" s="1"/>
  <c r="C44" i="42" s="1"/>
  <c r="B91" i="42"/>
  <c r="B105" i="42" s="1"/>
  <c r="D70" i="42"/>
  <c r="E113" i="42"/>
  <c r="E83" i="42"/>
  <c r="C91" i="42"/>
  <c r="C105" i="42" s="1"/>
  <c r="C115" i="42" s="1"/>
  <c r="E70" i="42"/>
  <c r="E64" i="42"/>
  <c r="D56" i="42"/>
  <c r="E56" i="42"/>
  <c r="E29" i="42"/>
  <c r="D43" i="42"/>
  <c r="E43" i="42"/>
  <c r="E16" i="42"/>
  <c r="B31" i="42"/>
  <c r="E40" i="42"/>
  <c r="D83" i="42"/>
  <c r="E89" i="42"/>
  <c r="E104" i="42"/>
  <c r="D113" i="42"/>
  <c r="D16" i="42"/>
  <c r="D40" i="42"/>
  <c r="D89" i="42"/>
  <c r="D104" i="42"/>
  <c r="E81" i="39"/>
  <c r="D91" i="42" l="1"/>
  <c r="E19" i="42"/>
  <c r="D19" i="42"/>
  <c r="C117" i="42"/>
  <c r="E91" i="42"/>
  <c r="E114" i="42"/>
  <c r="D114" i="42"/>
  <c r="E31" i="42"/>
  <c r="D31" i="42"/>
  <c r="D105" i="42"/>
  <c r="B115" i="42"/>
  <c r="D115" i="42" s="1"/>
  <c r="B32" i="42"/>
  <c r="F22" i="41"/>
  <c r="C88" i="39"/>
  <c r="B88" i="39"/>
  <c r="E85" i="39"/>
  <c r="D85" i="39"/>
  <c r="D61" i="39"/>
  <c r="D32" i="39"/>
  <c r="B44" i="42" l="1"/>
  <c r="E32" i="42"/>
  <c r="D32" i="42"/>
  <c r="B35" i="40"/>
  <c r="D22" i="41"/>
  <c r="E110" i="39"/>
  <c r="D110" i="39"/>
  <c r="E109" i="39"/>
  <c r="D109" i="39"/>
  <c r="E108" i="39"/>
  <c r="D108" i="39"/>
  <c r="E107" i="39"/>
  <c r="D107" i="39"/>
  <c r="B111" i="39"/>
  <c r="B112" i="39" s="1"/>
  <c r="C111" i="39"/>
  <c r="D102" i="39"/>
  <c r="D93" i="39"/>
  <c r="C82" i="39"/>
  <c r="B82" i="39"/>
  <c r="D81" i="39"/>
  <c r="B42" i="39"/>
  <c r="C39" i="39"/>
  <c r="C42" i="39" s="1"/>
  <c r="E38" i="39"/>
  <c r="D38" i="39"/>
  <c r="E37" i="39"/>
  <c r="D37" i="39"/>
  <c r="E36" i="39"/>
  <c r="D36" i="39"/>
  <c r="E35" i="39"/>
  <c r="D35" i="39"/>
  <c r="B117" i="42" l="1"/>
  <c r="D44" i="42"/>
  <c r="E44" i="42"/>
  <c r="D111" i="39"/>
  <c r="E82" i="39"/>
  <c r="C112" i="39"/>
  <c r="E112" i="39" s="1"/>
  <c r="E111" i="39"/>
  <c r="D82" i="39"/>
  <c r="D39" i="39"/>
  <c r="E39" i="39"/>
  <c r="D42" i="39"/>
  <c r="E42" i="39"/>
  <c r="F3" i="26"/>
  <c r="G3" i="26"/>
  <c r="H3" i="26"/>
  <c r="F4" i="26"/>
  <c r="J4" i="26" s="1"/>
  <c r="G4" i="26"/>
  <c r="K4" i="26" s="1"/>
  <c r="H4" i="26"/>
  <c r="L4" i="26"/>
  <c r="F5" i="26"/>
  <c r="G5" i="26"/>
  <c r="H5" i="26"/>
  <c r="L5" i="26"/>
  <c r="F6" i="26"/>
  <c r="G6" i="26"/>
  <c r="H6" i="26"/>
  <c r="L6" i="26"/>
  <c r="F7" i="26"/>
  <c r="G7" i="26"/>
  <c r="H7" i="26"/>
  <c r="L7" i="26"/>
  <c r="F8" i="26"/>
  <c r="G8" i="26"/>
  <c r="H8" i="26"/>
  <c r="L8" i="26"/>
  <c r="F9" i="26"/>
  <c r="G9" i="26"/>
  <c r="H9" i="26"/>
  <c r="L9" i="26"/>
  <c r="F10" i="26"/>
  <c r="G10" i="26"/>
  <c r="H10" i="26"/>
  <c r="L10" i="26"/>
  <c r="F11" i="26"/>
  <c r="G11" i="26"/>
  <c r="H11" i="26"/>
  <c r="L11" i="26"/>
  <c r="F12" i="26"/>
  <c r="G12" i="26"/>
  <c r="H12" i="26"/>
  <c r="L12" i="26"/>
  <c r="F13" i="26"/>
  <c r="G13" i="26"/>
  <c r="H13" i="26"/>
  <c r="L13" i="26"/>
  <c r="F14" i="26"/>
  <c r="G14" i="26"/>
  <c r="H14" i="26"/>
  <c r="L14" i="26"/>
  <c r="B14" i="40"/>
  <c r="B21" i="40"/>
  <c r="B29" i="40"/>
  <c r="D7" i="38"/>
  <c r="D8" i="38"/>
  <c r="D9" i="38"/>
  <c r="D10" i="38"/>
  <c r="D11" i="38"/>
  <c r="D12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44" i="38"/>
  <c r="D45" i="38"/>
  <c r="D46" i="38"/>
  <c r="D47" i="38"/>
  <c r="D48" i="38"/>
  <c r="D49" i="38"/>
  <c r="D50" i="38"/>
  <c r="D51" i="38"/>
  <c r="D53" i="38"/>
  <c r="D54" i="38"/>
  <c r="D55" i="38"/>
  <c r="B8" i="6"/>
  <c r="C8" i="6" s="1"/>
  <c r="E8" i="6"/>
  <c r="E10" i="6" s="1"/>
  <c r="G8" i="6"/>
  <c r="H8" i="6" s="1"/>
  <c r="B9" i="6"/>
  <c r="C9" i="6" s="1"/>
  <c r="E9" i="6"/>
  <c r="G9" i="6"/>
  <c r="H9" i="6" s="1"/>
  <c r="I9" i="6" s="1"/>
  <c r="J9" i="6" s="1"/>
  <c r="D10" i="6"/>
  <c r="F10" i="6"/>
  <c r="B13" i="6"/>
  <c r="B19" i="6" s="1"/>
  <c r="B20" i="6"/>
  <c r="C20" i="6"/>
  <c r="D20" i="6" s="1"/>
  <c r="E20" i="6" s="1"/>
  <c r="F20" i="6" s="1"/>
  <c r="G20" i="6" s="1"/>
  <c r="H20" i="6" s="1"/>
  <c r="I20" i="6" s="1"/>
  <c r="J20" i="6" s="1"/>
  <c r="K20" i="6" s="1"/>
  <c r="L20" i="6" s="1"/>
  <c r="M20" i="6" s="1"/>
  <c r="D35" i="41"/>
  <c r="F35" i="41"/>
  <c r="F38" i="41" s="1"/>
  <c r="D7" i="39"/>
  <c r="D8" i="39"/>
  <c r="D14" i="39"/>
  <c r="E14" i="39"/>
  <c r="B16" i="39"/>
  <c r="B19" i="39" s="1"/>
  <c r="C16" i="39"/>
  <c r="C19" i="39" s="1"/>
  <c r="D17" i="39"/>
  <c r="E17" i="39"/>
  <c r="B24" i="39"/>
  <c r="C24" i="39"/>
  <c r="D24" i="39"/>
  <c r="D27" i="39"/>
  <c r="D28" i="39" s="1"/>
  <c r="E27" i="39"/>
  <c r="B28" i="39"/>
  <c r="C28" i="39"/>
  <c r="D47" i="39"/>
  <c r="D48" i="39"/>
  <c r="E48" i="39"/>
  <c r="D54" i="39"/>
  <c r="B55" i="39"/>
  <c r="C55" i="39"/>
  <c r="D57" i="39"/>
  <c r="E57" i="39"/>
  <c r="D58" i="39"/>
  <c r="E58" i="39"/>
  <c r="D59" i="39"/>
  <c r="E59" i="39"/>
  <c r="D60" i="39"/>
  <c r="E60" i="39"/>
  <c r="D62" i="39"/>
  <c r="B63" i="39"/>
  <c r="C63" i="39"/>
  <c r="D65" i="39"/>
  <c r="E65" i="39"/>
  <c r="D66" i="39"/>
  <c r="D67" i="39"/>
  <c r="D68" i="39"/>
  <c r="E68" i="39"/>
  <c r="B69" i="39"/>
  <c r="C69" i="39"/>
  <c r="D71" i="39"/>
  <c r="D72" i="39"/>
  <c r="E72" i="39"/>
  <c r="D73" i="39"/>
  <c r="D75" i="39"/>
  <c r="B78" i="39"/>
  <c r="B90" i="39" s="1"/>
  <c r="C78" i="39"/>
  <c r="C90" i="39" s="1"/>
  <c r="D79" i="39"/>
  <c r="D80" i="39"/>
  <c r="D83" i="39"/>
  <c r="D86" i="39"/>
  <c r="E86" i="39"/>
  <c r="D87" i="39"/>
  <c r="E87" i="39"/>
  <c r="D89" i="39"/>
  <c r="E89" i="39"/>
  <c r="D92" i="39"/>
  <c r="D94" i="39"/>
  <c r="B95" i="39"/>
  <c r="C95" i="39"/>
  <c r="D96" i="39"/>
  <c r="E96" i="39"/>
  <c r="D98" i="39"/>
  <c r="E98" i="39"/>
  <c r="D99" i="39"/>
  <c r="E99" i="39"/>
  <c r="D101" i="39"/>
  <c r="B103" i="39"/>
  <c r="C103" i="39"/>
  <c r="G10" i="6" l="1"/>
  <c r="D112" i="39"/>
  <c r="J5" i="26"/>
  <c r="J6" i="26" s="1"/>
  <c r="J7" i="26" s="1"/>
  <c r="J8" i="26" s="1"/>
  <c r="J9" i="26" s="1"/>
  <c r="J10" i="26" s="1"/>
  <c r="J11" i="26" s="1"/>
  <c r="J12" i="26" s="1"/>
  <c r="J13" i="26" s="1"/>
  <c r="J14" i="26" s="1"/>
  <c r="K5" i="26"/>
  <c r="K6" i="26" s="1"/>
  <c r="K7" i="26" s="1"/>
  <c r="K8" i="26" s="1"/>
  <c r="K9" i="26" s="1"/>
  <c r="K10" i="26" s="1"/>
  <c r="K11" i="26" s="1"/>
  <c r="K12" i="26" s="1"/>
  <c r="K13" i="26" s="1"/>
  <c r="K14" i="26" s="1"/>
  <c r="C10" i="6"/>
  <c r="C30" i="39"/>
  <c r="C31" i="39" s="1"/>
  <c r="C43" i="39" s="1"/>
  <c r="D69" i="39"/>
  <c r="B30" i="39"/>
  <c r="D117" i="42"/>
  <c r="E117" i="42"/>
  <c r="E16" i="39"/>
  <c r="D38" i="41"/>
  <c r="C104" i="39"/>
  <c r="C113" i="39" s="1"/>
  <c r="D95" i="39"/>
  <c r="E88" i="39"/>
  <c r="E69" i="39"/>
  <c r="D55" i="39"/>
  <c r="D63" i="39"/>
  <c r="E28" i="39"/>
  <c r="D88" i="39"/>
  <c r="D103" i="39"/>
  <c r="E90" i="39"/>
  <c r="D78" i="39"/>
  <c r="E63" i="39"/>
  <c r="E55" i="39"/>
  <c r="D16" i="39"/>
  <c r="D19" i="39"/>
  <c r="E19" i="39"/>
  <c r="B41" i="40"/>
  <c r="H10" i="6"/>
  <c r="I8" i="6"/>
  <c r="B21" i="6"/>
  <c r="C19" i="6"/>
  <c r="E103" i="39"/>
  <c r="B10" i="6"/>
  <c r="E30" i="39" l="1"/>
  <c r="D30" i="39"/>
  <c r="B31" i="39"/>
  <c r="B43" i="39" s="1"/>
  <c r="D90" i="39"/>
  <c r="B104" i="39"/>
  <c r="B113" i="39" s="1"/>
  <c r="C115" i="39"/>
  <c r="D19" i="6"/>
  <c r="C21" i="6"/>
  <c r="J8" i="6"/>
  <c r="J10" i="6" s="1"/>
  <c r="I10" i="6"/>
  <c r="E31" i="39" l="1"/>
  <c r="D31" i="39"/>
  <c r="D104" i="39"/>
  <c r="E43" i="39"/>
  <c r="D43" i="39"/>
  <c r="D21" i="6"/>
  <c r="E19" i="6"/>
  <c r="D113" i="39" l="1"/>
  <c r="B115" i="39"/>
  <c r="F19" i="6"/>
  <c r="E21" i="6"/>
  <c r="D115" i="39" l="1"/>
  <c r="E115" i="39"/>
  <c r="F21" i="6"/>
  <c r="G19" i="6"/>
  <c r="H19" i="6" l="1"/>
  <c r="G21" i="6"/>
  <c r="H21" i="6" l="1"/>
  <c r="I19" i="6"/>
  <c r="J19" i="6" l="1"/>
  <c r="I21" i="6"/>
  <c r="J21" i="6" l="1"/>
  <c r="K19" i="6"/>
  <c r="L19" i="6" l="1"/>
  <c r="K21" i="6"/>
  <c r="L21" i="6" l="1"/>
  <c r="M19" i="6"/>
  <c r="M21" i="6" s="1"/>
</calcChain>
</file>

<file path=xl/sharedStrings.xml><?xml version="1.0" encoding="utf-8"?>
<sst xmlns="http://schemas.openxmlformats.org/spreadsheetml/2006/main" count="402" uniqueCount="229">
  <si>
    <t>Total Expense</t>
  </si>
  <si>
    <t>Treasurer’s Report</t>
  </si>
  <si>
    <t>Included:</t>
  </si>
  <si>
    <t>Cumulative Expense</t>
  </si>
  <si>
    <t>To print this report, select print from the file menu and then print "entire workbook".</t>
  </si>
  <si>
    <t>Expense Budget</t>
  </si>
  <si>
    <t>Cumulative Revenues</t>
  </si>
  <si>
    <t>Total Revenues</t>
  </si>
  <si>
    <t>Revenue Budget</t>
  </si>
  <si>
    <t>Net Revenue</t>
  </si>
  <si>
    <t>Carry Over &amp; XFR</t>
  </si>
  <si>
    <t>Carry Over &amp; XFR Budget</t>
  </si>
  <si>
    <t>Budget</t>
  </si>
  <si>
    <t>$ Over Budget</t>
  </si>
  <si>
    <t>% of Budget</t>
  </si>
  <si>
    <t>Income</t>
  </si>
  <si>
    <t>1-Revenues</t>
  </si>
  <si>
    <t>A-Donations</t>
  </si>
  <si>
    <t>Altar Flower Donations</t>
  </si>
  <si>
    <t>Bkfst / Coffee Donations</t>
  </si>
  <si>
    <t>Other Special Income</t>
  </si>
  <si>
    <t>Plate Offerings</t>
  </si>
  <si>
    <t>Open Plate</t>
  </si>
  <si>
    <t>Plate Offerings - Other</t>
  </si>
  <si>
    <t>Total Plate Offerings</t>
  </si>
  <si>
    <t>Pledge Payments</t>
  </si>
  <si>
    <t>Sunday School Offerings</t>
  </si>
  <si>
    <t>Total A-Donations</t>
  </si>
  <si>
    <t>B-Other Income</t>
  </si>
  <si>
    <t>Investment Income</t>
  </si>
  <si>
    <t>Dividends</t>
  </si>
  <si>
    <t>Total Investment Income</t>
  </si>
  <si>
    <t>Total B-Other Income</t>
  </si>
  <si>
    <t>Total Income</t>
  </si>
  <si>
    <t>Expense</t>
  </si>
  <si>
    <t>A-Clergy Salary &amp; Benefits</t>
  </si>
  <si>
    <t>Car &amp; Travel</t>
  </si>
  <si>
    <t>Clergy Stipend</t>
  </si>
  <si>
    <t>Disability</t>
  </si>
  <si>
    <t>Medical Insurance</t>
  </si>
  <si>
    <t>Utilities - Vicarage</t>
  </si>
  <si>
    <t>Total A-Clergy Salary &amp; Benefits</t>
  </si>
  <si>
    <t>B-Other Salaries &amp; Benefits</t>
  </si>
  <si>
    <t>Organist</t>
  </si>
  <si>
    <t>Secretary / Administrator</t>
  </si>
  <si>
    <t>Staff FICA expense</t>
  </si>
  <si>
    <t>Staff Medicare Expense</t>
  </si>
  <si>
    <t>Total B-Other Salaries &amp; Benefits</t>
  </si>
  <si>
    <t>C-Buildings and Grounds</t>
  </si>
  <si>
    <t>Maintenance &amp; Repairs</t>
  </si>
  <si>
    <t>Sexton</t>
  </si>
  <si>
    <t>Utilities - Church/Parish Hall</t>
  </si>
  <si>
    <t>Total C-Buildings and Grounds</t>
  </si>
  <si>
    <t>D-Operating Expenses</t>
  </si>
  <si>
    <t>Altar Flowers</t>
  </si>
  <si>
    <t>Altar Supplies</t>
  </si>
  <si>
    <t>Bulletins, Printing, Copier</t>
  </si>
  <si>
    <t>Kitchen &amp; Water Expenses</t>
  </si>
  <si>
    <t>Miscellaneous Expense</t>
  </si>
  <si>
    <t>Music, Choir supplies</t>
  </si>
  <si>
    <t>Office Expense</t>
  </si>
  <si>
    <t>Postage</t>
  </si>
  <si>
    <t>Office Expense - Other</t>
  </si>
  <si>
    <t>Total Office Expense</t>
  </si>
  <si>
    <t>Telephone</t>
  </si>
  <si>
    <t>Total D-Operating Expenses</t>
  </si>
  <si>
    <t>E-Programs</t>
  </si>
  <si>
    <t>Christian Education - Adult</t>
  </si>
  <si>
    <t>Christian Education - Youth</t>
  </si>
  <si>
    <t>Total E-Programs</t>
  </si>
  <si>
    <t>F-Mission Share to Diocese</t>
  </si>
  <si>
    <t>G-Outreach</t>
  </si>
  <si>
    <t>Disretionery - Vicar</t>
  </si>
  <si>
    <t>Evangelism &amp; Stewardship</t>
  </si>
  <si>
    <t>Other Outreach</t>
  </si>
  <si>
    <t>Total G-Outreach</t>
  </si>
  <si>
    <t>Net Income</t>
  </si>
  <si>
    <t>Grants and Gifts</t>
  </si>
  <si>
    <t>ASSETS</t>
  </si>
  <si>
    <t>Current Assets</t>
  </si>
  <si>
    <t>Checking/Savings</t>
  </si>
  <si>
    <t>LPL Money Market Fund</t>
  </si>
  <si>
    <t>Wauconda Community Chkng</t>
  </si>
  <si>
    <t>Wauconda Community MMF</t>
  </si>
  <si>
    <t>Total Checking/Savings</t>
  </si>
  <si>
    <t>Total Current Assets</t>
  </si>
  <si>
    <t>TOTAL ASSETS</t>
  </si>
  <si>
    <t>LIABILITIES &amp; EQUITY</t>
  </si>
  <si>
    <t>Liabilities</t>
  </si>
  <si>
    <t>Current Liabilities</t>
  </si>
  <si>
    <t>Total Current Liabilities</t>
  </si>
  <si>
    <t>Total Liabilities</t>
  </si>
  <si>
    <t>Equity</t>
  </si>
  <si>
    <t>Designated Funds</t>
  </si>
  <si>
    <t>Building Fund</t>
  </si>
  <si>
    <t>Florence Bouvier Memorial Fund</t>
  </si>
  <si>
    <t>Pat Smith Memorial Fund</t>
  </si>
  <si>
    <t>Pyne Family Memorial Fund</t>
  </si>
  <si>
    <t>Roger Coombs Memorial</t>
  </si>
  <si>
    <t>Stan Smith Memorial Fund</t>
  </si>
  <si>
    <t>Building Fund - Other</t>
  </si>
  <si>
    <t>Total Building Fund</t>
  </si>
  <si>
    <t>Lawn Care &amp; Equipment Fund</t>
  </si>
  <si>
    <t>Memorials</t>
  </si>
  <si>
    <t>Bullion Memorial Fund</t>
  </si>
  <si>
    <t>Carol Faust</t>
  </si>
  <si>
    <t>Elnora McClure</t>
  </si>
  <si>
    <t>Ruth Saville Memorial</t>
  </si>
  <si>
    <t>Total Memorials</t>
  </si>
  <si>
    <t>Sunday School Fund</t>
  </si>
  <si>
    <t>Vicar Discretionary Fund</t>
  </si>
  <si>
    <t>Youth Group</t>
  </si>
  <si>
    <t>Total Designated Funds</t>
  </si>
  <si>
    <t>Total Equity</t>
  </si>
  <si>
    <t>TOTAL LIABILITIES &amp; EQUITY</t>
  </si>
  <si>
    <t>Putz Family Memorial</t>
  </si>
  <si>
    <t>Unrealized Gains / Losses</t>
  </si>
  <si>
    <t>Other Current Liabilities</t>
  </si>
  <si>
    <t>Payroll Liabilities</t>
  </si>
  <si>
    <t>Accrued payroll tax-State</t>
  </si>
  <si>
    <t>Total Payroll Liabilities</t>
  </si>
  <si>
    <t>Total Other Current Liabilities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</si>
  <si>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</si>
  <si>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</si>
  <si>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</si>
  <si>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</si>
  <si>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</si>
  <si>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</si>
  <si>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</si>
  <si>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</si>
  <si>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</si>
  <si>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</si>
  <si>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</si>
  <si>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</si>
  <si>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2005</t>
  </si>
  <si>
    <t>2004</t>
  </si>
  <si>
    <t>Continuing Education</t>
  </si>
  <si>
    <t>Supply Clergy</t>
  </si>
  <si>
    <t>Wk #</t>
  </si>
  <si>
    <t>Month</t>
  </si>
  <si>
    <t>Revenues / Expense / Pledge Charts</t>
  </si>
  <si>
    <t>Bullion Retirement Fund</t>
  </si>
  <si>
    <t>Checks</t>
  </si>
  <si>
    <t>Accrued Payroll Tax-Federal</t>
  </si>
  <si>
    <t>Payroll Liabilities - Other</t>
  </si>
  <si>
    <t>Dec 31, '04</t>
  </si>
  <si>
    <t>Perrin &amp; Violet Burke Memorial</t>
  </si>
  <si>
    <t>Opening Bal Equity</t>
  </si>
  <si>
    <t>Balance Sheet - Month, Previous Month &amp; End Previous Year</t>
  </si>
  <si>
    <t>Katrina Fund</t>
  </si>
  <si>
    <t>Dec 31, '05</t>
  </si>
  <si>
    <t>Outreach / Discretionary</t>
  </si>
  <si>
    <t>Fund Raising Activities</t>
  </si>
  <si>
    <t>Auction Dinner</t>
  </si>
  <si>
    <t>Total Fund Raising Activities</t>
  </si>
  <si>
    <t>Miscellaneous Income</t>
  </si>
  <si>
    <t>Total 1-Revenues</t>
  </si>
  <si>
    <t>3-Non Operating Income</t>
  </si>
  <si>
    <t>Memorial Donations</t>
  </si>
  <si>
    <t>Total 3-Non Operating Income</t>
  </si>
  <si>
    <t>Advertising</t>
  </si>
  <si>
    <t>Total 1-Expenses</t>
  </si>
  <si>
    <t>3-Non-Operating Expenses</t>
  </si>
  <si>
    <t>Facilities Use income</t>
  </si>
  <si>
    <t>Lobster Sale</t>
  </si>
  <si>
    <t>Pension</t>
  </si>
  <si>
    <t>Property / Liability</t>
  </si>
  <si>
    <t>Fund Raising Expense</t>
  </si>
  <si>
    <t>Auction Dinner Expenses</t>
  </si>
  <si>
    <t>Lobster Sale Expenses</t>
  </si>
  <si>
    <t>Total Fund Raising Expense</t>
  </si>
  <si>
    <t>Designated Named Funds</t>
  </si>
  <si>
    <t>Other Designated Funds</t>
  </si>
  <si>
    <t>Income &amp; Expenditure Summary</t>
  </si>
  <si>
    <t>YTD Actual</t>
  </si>
  <si>
    <t>YTD Budget</t>
  </si>
  <si>
    <t>Pledge</t>
  </si>
  <si>
    <t>Plate</t>
  </si>
  <si>
    <t>Fund Raising (net of Expenses)</t>
  </si>
  <si>
    <t>Other Donations</t>
  </si>
  <si>
    <t>Total</t>
  </si>
  <si>
    <t>Expenditure</t>
  </si>
  <si>
    <t xml:space="preserve">People </t>
  </si>
  <si>
    <t>Maintenance &amp; Operating</t>
  </si>
  <si>
    <t>Contribution to Diocese</t>
  </si>
  <si>
    <t>Other</t>
  </si>
  <si>
    <t>Mission Programs - Global</t>
  </si>
  <si>
    <t>Mission Programs - Local</t>
  </si>
  <si>
    <t>Mission Programs - National</t>
  </si>
  <si>
    <t>Mission Programs - Regional</t>
  </si>
  <si>
    <t>Bank Fees &amp; Credit Card Costs</t>
  </si>
  <si>
    <t>Total Miscellaneous Expense</t>
  </si>
  <si>
    <t>Convention Expenses</t>
  </si>
  <si>
    <t>Mission Programs - Total</t>
  </si>
  <si>
    <t>Total Mission Programs</t>
  </si>
  <si>
    <t>Total Non-Operating Expenses</t>
  </si>
  <si>
    <t>Net Non Operating Income</t>
  </si>
  <si>
    <t>Undesignated Cash</t>
  </si>
  <si>
    <t>Total 2-Diocesan Assistance</t>
  </si>
  <si>
    <t>Internet</t>
  </si>
  <si>
    <t>Project Income</t>
  </si>
  <si>
    <t>Outrreach Programs</t>
  </si>
  <si>
    <t>Tax Adjustments</t>
  </si>
  <si>
    <t>Clergy FICA Reimbursement</t>
  </si>
  <si>
    <t>Project Expenses</t>
  </si>
  <si>
    <t>2012 Actual</t>
  </si>
  <si>
    <t>Dec 31, '12</t>
  </si>
  <si>
    <t>Growth Committee</t>
  </si>
  <si>
    <t>Easter Offering</t>
  </si>
  <si>
    <t>Outreach Donations</t>
  </si>
  <si>
    <t>Picnic Expenses</t>
  </si>
  <si>
    <t>Prepared by</t>
  </si>
  <si>
    <t>MMF</t>
  </si>
  <si>
    <t>Chkng</t>
  </si>
  <si>
    <t>Money Market Fund</t>
  </si>
  <si>
    <t>CD</t>
  </si>
  <si>
    <t>Church</t>
  </si>
  <si>
    <t>City, State Zip</t>
  </si>
  <si>
    <t>Balance Sheet - Current Period &amp; Year End Prior two years</t>
  </si>
  <si>
    <t>Dec 31, '13</t>
  </si>
  <si>
    <t>2013 Actual</t>
  </si>
  <si>
    <t xml:space="preserve">P&amp;L Versus Budget - Year To Date </t>
  </si>
  <si>
    <t xml:space="preserve">YTD </t>
  </si>
  <si>
    <t xml:space="preserve">P&amp;L Versus Budget - Month </t>
  </si>
  <si>
    <t>Date Report Issued</t>
  </si>
  <si>
    <t xml:space="preserve">Income / Expense Summary </t>
  </si>
  <si>
    <t xml:space="preserve">Balance Sheet </t>
  </si>
  <si>
    <t xml:space="preserve">P&amp;L YTD </t>
  </si>
  <si>
    <t>P&amp;L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</si>
</sst>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mmmm\ d\,\ yyyy"/>
    <numFmt numFmtId="166" formatCode="&quot;$&quot;#,##0"/>
    <numFmt numFmtId="167" formatCode="0.0%"/>
    <numFmt numFmtId="168" formatCode="0.00_);\(0.00\)"/>
  </numFmts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4" fontId="0" fillId="0" borderId="0" xfId="0" applyNumberFormat="1"/>
    <xf numFmtId="0" fontId="2" fillId="0" borderId="0" xfId="0" applyFont="1"/>
    <xf numFmtId="165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3" fontId="0" fillId="0" borderId="0" xfId="0" applyNumberFormat="1"/>
    <xf numFmtId="166" fontId="0" fillId="0" borderId="0" xfId="0" applyNumberFormat="1"/>
    <xf numFmtId="0" fontId="6" fillId="0" borderId="0" xfId="0" applyFont="1"/>
    <xf numFmtId="0" fontId="0" fillId="0" borderId="1" xfId="0" applyBorder="1"/>
    <xf numFmtId="0" fontId="0" fillId="0" borderId="0" xfId="0" quotePrefix="1"/>
    <xf numFmtId="17" fontId="0" fillId="0" borderId="0" xfId="0" applyNumberFormat="1" applyAlignment="1">
      <alignment horizontal="center"/>
    </xf>
    <xf numFmtId="1" fontId="0" fillId="0" borderId="0" xfId="0" applyNumberFormat="1"/>
    <xf numFmtId="2" fontId="0" fillId="0" borderId="0" xfId="0" applyNumberFormat="1"/>
    <xf numFmtId="168" fontId="0" fillId="0" borderId="0" xfId="0" applyNumberFormat="1"/>
    <xf numFmtId="168" fontId="4" fillId="0" borderId="0" xfId="0" applyNumberFormat="1" applyFont="1" applyAlignment="1">
      <alignment horizontal="center"/>
    </xf>
    <xf numFmtId="9" fontId="0" fillId="0" borderId="0" xfId="0" applyNumberFormat="1"/>
    <xf numFmtId="0" fontId="8" fillId="0" borderId="1" xfId="0" applyFont="1" applyBorder="1"/>
    <xf numFmtId="0" fontId="9" fillId="0" borderId="1" xfId="0" applyFont="1" applyBorder="1"/>
    <xf numFmtId="168" fontId="8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168" fontId="9" fillId="0" borderId="1" xfId="0" applyNumberFormat="1" applyFont="1" applyBorder="1"/>
    <xf numFmtId="9" fontId="9" fillId="0" borderId="1" xfId="0" applyNumberFormat="1" applyFont="1" applyBorder="1"/>
    <xf numFmtId="4" fontId="0" fillId="0" borderId="0" xfId="0" applyNumberFormat="1"/>
    <xf numFmtId="0" fontId="1" fillId="0" borderId="0" xfId="0" applyFont="1"/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4" fontId="8" fillId="0" borderId="1" xfId="0" applyNumberFormat="1" applyFont="1" applyBorder="1"/>
    <xf numFmtId="4" fontId="0" fillId="0" borderId="1" xfId="0" applyNumberFormat="1" applyFill="1" applyBorder="1"/>
    <xf numFmtId="4" fontId="6" fillId="0" borderId="1" xfId="0" applyNumberFormat="1" applyFont="1" applyBorder="1"/>
    <xf numFmtId="4" fontId="9" fillId="0" borderId="1" xfId="0" applyNumberFormat="1" applyFont="1" applyBorder="1"/>
    <xf numFmtId="168" fontId="0" fillId="0" borderId="1" xfId="0" applyNumberFormat="1" applyBorder="1"/>
    <xf numFmtId="168" fontId="1" fillId="0" borderId="1" xfId="0" applyNumberFormat="1" applyFont="1" applyBorder="1"/>
    <xf numFmtId="167" fontId="0" fillId="0" borderId="1" xfId="0" applyNumberFormat="1" applyBorder="1"/>
    <xf numFmtId="167" fontId="1" fillId="0" borderId="1" xfId="0" applyNumberFormat="1" applyFont="1" applyBorder="1"/>
    <xf numFmtId="39" fontId="0" fillId="0" borderId="0" xfId="0" applyNumberFormat="1"/>
    <xf numFmtId="0" fontId="6" fillId="0" borderId="1" xfId="0" applyFont="1" applyBorder="1"/>
    <xf numFmtId="168" fontId="6" fillId="0" borderId="1" xfId="0" applyNumberFormat="1" applyFont="1" applyBorder="1"/>
    <xf numFmtId="167" fontId="6" fillId="0" borderId="1" xfId="0" applyNumberFormat="1" applyFont="1" applyBorder="1"/>
    <xf numFmtId="39" fontId="1" fillId="0" borderId="1" xfId="0" applyNumberFormat="1" applyFont="1" applyBorder="1"/>
    <xf numFmtId="39" fontId="1" fillId="0" borderId="1" xfId="0" applyNumberFormat="1" applyFont="1" applyFill="1" applyBorder="1"/>
    <xf numFmtId="39" fontId="0" fillId="0" borderId="1" xfId="0" applyNumberFormat="1" applyFill="1" applyBorder="1"/>
    <xf numFmtId="39" fontId="9" fillId="0" borderId="1" xfId="0" applyNumberFormat="1" applyFont="1" applyFill="1" applyBorder="1"/>
    <xf numFmtId="4" fontId="6" fillId="0" borderId="0" xfId="0" applyNumberFormat="1" applyFont="1"/>
    <xf numFmtId="168" fontId="6" fillId="0" borderId="0" xfId="0" applyNumberFormat="1" applyFont="1"/>
    <xf numFmtId="0" fontId="4" fillId="0" borderId="0" xfId="0" applyFont="1" applyAlignment="1">
      <alignment horizontal="center" wrapText="1"/>
    </xf>
    <xf numFmtId="39" fontId="0" fillId="0" borderId="0" xfId="0" applyNumberFormat="1" applyFill="1"/>
    <xf numFmtId="39" fontId="1" fillId="0" borderId="0" xfId="0" applyNumberFormat="1" applyFont="1" applyFill="1"/>
    <xf numFmtId="0" fontId="8" fillId="0" borderId="1" xfId="0" applyFont="1" applyFill="1" applyBorder="1" applyAlignment="1">
      <alignment horizontal="center"/>
    </xf>
    <xf numFmtId="39" fontId="8" fillId="0" borderId="1" xfId="0" applyNumberFormat="1" applyFont="1" applyFill="1" applyBorder="1"/>
    <xf numFmtId="0" fontId="4" fillId="0" borderId="0" xfId="0" applyFont="1" applyFill="1" applyAlignment="1">
      <alignment horizontal="center" wrapText="1"/>
    </xf>
    <xf numFmtId="39" fontId="6" fillId="0" borderId="1" xfId="0" applyNumberFormat="1" applyFont="1" applyBorder="1"/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8" fillId="0" borderId="1" xfId="0" applyFont="1" applyFill="1" applyBorder="1"/>
    <xf numFmtId="168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9" fillId="0" borderId="1" xfId="0" applyFont="1" applyFill="1" applyBorder="1"/>
    <xf numFmtId="0" fontId="4" fillId="0" borderId="0" xfId="0" applyFont="1" applyAlignment="1">
      <alignment horizontal="center"/>
    </xf>
    <xf numFmtId="39" fontId="9" fillId="0" borderId="1" xfId="0" applyNumberFormat="1" applyFont="1" applyBorder="1"/>
    <xf numFmtId="39" fontId="0" fillId="0" borderId="1" xfId="0" applyNumberFormat="1" applyBorder="1"/>
    <xf numFmtId="0" fontId="0" fillId="0" borderId="0" xfId="0" applyFill="1"/>
    <xf numFmtId="39" fontId="6" fillId="0" borderId="1" xfId="0" applyNumberFormat="1" applyFont="1" applyFill="1" applyBorder="1"/>
    <xf numFmtId="39" fontId="6" fillId="0" borderId="0" xfId="0" applyNumberFormat="1" applyFont="1" applyFill="1"/>
    <xf numFmtId="0" fontId="0" fillId="0" borderId="1" xfId="0" applyFill="1" applyBorder="1"/>
    <xf numFmtId="0" fontId="4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49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hartsheet" Target="chartsheets/sheet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Cummulative Revenues &amp; Expenses</a:t>
            </a:r>
          </a:p>
        </c:rich>
      </c:tx>
      <c:layout>
        <c:manualLayout>
          <c:xMode val="edge"/>
          <c:yMode val="edge"/>
          <c:x val="0.28469750889679679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19572953736868E-2"/>
          <c:y val="0.13874345549738334"/>
          <c:w val="0.90569395017793553"/>
          <c:h val="0.75130890052356292"/>
        </c:manualLayout>
      </c:layout>
      <c:barChart>
        <c:barDir val="col"/>
        <c:grouping val="clustered"/>
        <c:varyColors val="0"/>
        <c:ser>
          <c:idx val="0"/>
          <c:order val="0"/>
          <c:tx>
            <c:v>2004 Cumm Revs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'Cash Flow (2)'!$B$12:$M$12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Flow (2)'!$B$19:$M$19</c:f>
              <c:numCache>
                <c:formatCode>"$"#,##0</c:formatCode>
                <c:ptCount val="12"/>
                <c:pt idx="0">
                  <c:v>11514.550000000001</c:v>
                </c:pt>
                <c:pt idx="1">
                  <c:v>20726.13</c:v>
                </c:pt>
                <c:pt idx="2">
                  <c:v>26866.920000000002</c:v>
                </c:pt>
                <c:pt idx="3">
                  <c:v>34478.69</c:v>
                </c:pt>
                <c:pt idx="4">
                  <c:v>43375.54</c:v>
                </c:pt>
                <c:pt idx="5">
                  <c:v>52572.15</c:v>
                </c:pt>
                <c:pt idx="6">
                  <c:v>59067.62</c:v>
                </c:pt>
                <c:pt idx="7">
                  <c:v>66994.73</c:v>
                </c:pt>
                <c:pt idx="8">
                  <c:v>74905.36</c:v>
                </c:pt>
                <c:pt idx="9">
                  <c:v>87257.36</c:v>
                </c:pt>
                <c:pt idx="10">
                  <c:v>103978.19</c:v>
                </c:pt>
                <c:pt idx="11">
                  <c:v>115736.67</c:v>
                </c:pt>
              </c:numCache>
            </c:numRef>
          </c:val>
        </c:ser>
        <c:ser>
          <c:idx val="1"/>
          <c:order val="1"/>
          <c:tx>
            <c:v>2004 Cumm Exps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'Cash Flow (2)'!$B$12:$M$12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Flow (2)'!$B$20:$M$20</c:f>
              <c:numCache>
                <c:formatCode>"$"#,##0</c:formatCode>
                <c:ptCount val="12"/>
                <c:pt idx="0">
                  <c:v>11324.06</c:v>
                </c:pt>
                <c:pt idx="1">
                  <c:v>21618.989999999998</c:v>
                </c:pt>
                <c:pt idx="2">
                  <c:v>30847.539999999997</c:v>
                </c:pt>
                <c:pt idx="3">
                  <c:v>41956.75</c:v>
                </c:pt>
                <c:pt idx="4">
                  <c:v>53067.14</c:v>
                </c:pt>
                <c:pt idx="5">
                  <c:v>62749.369999999995</c:v>
                </c:pt>
                <c:pt idx="6">
                  <c:v>74664.289999999994</c:v>
                </c:pt>
                <c:pt idx="7">
                  <c:v>82226.47</c:v>
                </c:pt>
                <c:pt idx="8">
                  <c:v>89892.42</c:v>
                </c:pt>
                <c:pt idx="9">
                  <c:v>101540.23</c:v>
                </c:pt>
                <c:pt idx="10">
                  <c:v>113133.73</c:v>
                </c:pt>
                <c:pt idx="11">
                  <c:v>122919.98999999999</c:v>
                </c:pt>
              </c:numCache>
            </c:numRef>
          </c:val>
        </c:ser>
        <c:ser>
          <c:idx val="2"/>
          <c:order val="2"/>
          <c:tx>
            <c:v>2005 Cumm revs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'Cash Flow (2)'!$B$12:$M$12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Flow (2)'!$B$8:$M$8</c:f>
              <c:numCache>
                <c:formatCode>"$"#,##0</c:formatCode>
                <c:ptCount val="12"/>
                <c:pt idx="0">
                  <c:v>16845.509999999998</c:v>
                </c:pt>
                <c:pt idx="1">
                  <c:v>24236.989999999998</c:v>
                </c:pt>
                <c:pt idx="2">
                  <c:v>32022.720000000001</c:v>
                </c:pt>
                <c:pt idx="3">
                  <c:v>37645.449999999997</c:v>
                </c:pt>
                <c:pt idx="4">
                  <c:v>46483.98</c:v>
                </c:pt>
                <c:pt idx="5">
                  <c:v>51575.65</c:v>
                </c:pt>
                <c:pt idx="6">
                  <c:v>59627.91</c:v>
                </c:pt>
                <c:pt idx="7">
                  <c:v>64472.740000000005</c:v>
                </c:pt>
                <c:pt idx="8">
                  <c:v>69651.360000000001</c:v>
                </c:pt>
              </c:numCache>
            </c:numRef>
          </c:val>
        </c:ser>
        <c:ser>
          <c:idx val="3"/>
          <c:order val="3"/>
          <c:tx>
            <c:v>2005 Cumm Exps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'Cash Flow (2)'!$B$12:$M$12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Flow (2)'!$B$9:$M$9</c:f>
              <c:numCache>
                <c:formatCode>"$"#,##0</c:formatCode>
                <c:ptCount val="12"/>
                <c:pt idx="0">
                  <c:v>9361.68</c:v>
                </c:pt>
                <c:pt idx="1">
                  <c:v>21251.559999999998</c:v>
                </c:pt>
                <c:pt idx="2">
                  <c:v>28918.16</c:v>
                </c:pt>
                <c:pt idx="3">
                  <c:v>39599.61</c:v>
                </c:pt>
                <c:pt idx="4">
                  <c:v>50431.6</c:v>
                </c:pt>
                <c:pt idx="5">
                  <c:v>58397.52</c:v>
                </c:pt>
                <c:pt idx="6">
                  <c:v>71727.88</c:v>
                </c:pt>
                <c:pt idx="7">
                  <c:v>79810.41</c:v>
                </c:pt>
                <c:pt idx="8">
                  <c:v>84281.05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64864"/>
        <c:axId val="147366656"/>
      </c:barChart>
      <c:catAx>
        <c:axId val="147364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36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36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364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69039145907473"/>
          <c:y val="0.95942408376963351"/>
          <c:w val="0.54092526690391463"/>
          <c:h val="3.66492146596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NET REVENUES</a:t>
            </a:r>
          </a:p>
        </c:rich>
      </c:tx>
      <c:layout>
        <c:manualLayout>
          <c:xMode val="edge"/>
          <c:yMode val="edge"/>
          <c:x val="0.40124555160142245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71174377224205E-2"/>
          <c:y val="0.13874345549738334"/>
          <c:w val="0.91014234875444633"/>
          <c:h val="0.78403141361256778"/>
        </c:manualLayout>
      </c:layout>
      <c:lineChart>
        <c:grouping val="standard"/>
        <c:varyColors val="0"/>
        <c:ser>
          <c:idx val="0"/>
          <c:order val="0"/>
          <c:tx>
            <c:v>Net Rev - 2004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'Cash Flow (2)'!$B$12:$M$12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Flow (2)'!$B$21:$M$21</c:f>
              <c:numCache>
                <c:formatCode>"$"#,##0</c:formatCode>
                <c:ptCount val="12"/>
                <c:pt idx="0">
                  <c:v>190.4900000000016</c:v>
                </c:pt>
                <c:pt idx="1">
                  <c:v>-892.85999999999694</c:v>
                </c:pt>
                <c:pt idx="2">
                  <c:v>-3980.6199999999953</c:v>
                </c:pt>
                <c:pt idx="3">
                  <c:v>-7478.0599999999977</c:v>
                </c:pt>
                <c:pt idx="4">
                  <c:v>-9691.5999999999985</c:v>
                </c:pt>
                <c:pt idx="5">
                  <c:v>-10177.219999999994</c:v>
                </c:pt>
                <c:pt idx="6">
                  <c:v>-15596.669999999991</c:v>
                </c:pt>
                <c:pt idx="7">
                  <c:v>-15231.740000000005</c:v>
                </c:pt>
                <c:pt idx="8">
                  <c:v>-14987.059999999998</c:v>
                </c:pt>
                <c:pt idx="9">
                  <c:v>-14282.869999999995</c:v>
                </c:pt>
                <c:pt idx="10">
                  <c:v>-9155.5399999999936</c:v>
                </c:pt>
                <c:pt idx="11">
                  <c:v>-7183.3199999999924</c:v>
                </c:pt>
              </c:numCache>
            </c:numRef>
          </c:val>
          <c:smooth val="0"/>
        </c:ser>
        <c:ser>
          <c:idx val="1"/>
          <c:order val="1"/>
          <c:tx>
            <c:v>Net rev - 2005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1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'Cash Flow (2)'!$B$12:$M$12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Flow (2)'!$B$10:$M$10</c:f>
              <c:numCache>
                <c:formatCode>"$"#,##0</c:formatCode>
                <c:ptCount val="12"/>
                <c:pt idx="0">
                  <c:v>7483.8299999999981</c:v>
                </c:pt>
                <c:pt idx="1">
                  <c:v>2985.4300000000003</c:v>
                </c:pt>
                <c:pt idx="2">
                  <c:v>3104.5600000000013</c:v>
                </c:pt>
                <c:pt idx="3">
                  <c:v>-1954.1600000000035</c:v>
                </c:pt>
                <c:pt idx="4">
                  <c:v>-3947.6199999999953</c:v>
                </c:pt>
                <c:pt idx="5">
                  <c:v>-6821.8699999999953</c:v>
                </c:pt>
                <c:pt idx="6">
                  <c:v>-12099.970000000001</c:v>
                </c:pt>
                <c:pt idx="7">
                  <c:v>-15337.669999999998</c:v>
                </c:pt>
                <c:pt idx="8">
                  <c:v>-14629.690000000002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61472"/>
        <c:axId val="149163392"/>
      </c:lineChart>
      <c:catAx>
        <c:axId val="149161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163392"/>
        <c:crossesAt val="-1.4999999999999966E+64"/>
        <c:auto val="1"/>
        <c:lblAlgn val="ctr"/>
        <c:lblOffset val="100"/>
        <c:tickLblSkip val="1"/>
        <c:tickMarkSkip val="1"/>
        <c:noMultiLvlLbl val="0"/>
      </c:catAx>
      <c:valAx>
        <c:axId val="149163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16147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9.7864768683274539E-3"/>
                <c:y val="0.13874345549738334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501779359430805"/>
          <c:y val="0.95942408376963351"/>
          <c:w val="0.27935943060498231"/>
          <c:h val="3.66492146596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Income From Pledge</a:t>
            </a:r>
          </a:p>
        </c:rich>
      </c:tx>
      <c:layout>
        <c:manualLayout>
          <c:xMode val="edge"/>
          <c:yMode val="edge"/>
          <c:x val="0.41192170818505475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8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5.4270462633451942E-2"/>
          <c:y val="0.11387434554973815"/>
          <c:w val="0.93594306049822062"/>
          <c:h val="0.77486910994764358"/>
        </c:manualLayout>
      </c:layout>
      <c:bar3DChart>
        <c:barDir val="col"/>
        <c:grouping val="clustered"/>
        <c:varyColors val="0"/>
        <c:ser>
          <c:idx val="0"/>
          <c:order val="0"/>
          <c:tx>
            <c:v>2003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53"/>
                <c:pt idx="0">
                  <c:v>1718</c:v>
                </c:pt>
                <c:pt idx="1">
                  <c:v>1796</c:v>
                </c:pt>
                <c:pt idx="2">
                  <c:v>1490</c:v>
                </c:pt>
                <c:pt idx="3">
                  <c:v>1652</c:v>
                </c:pt>
                <c:pt idx="4">
                  <c:v>2213</c:v>
                </c:pt>
                <c:pt idx="5">
                  <c:v>1358</c:v>
                </c:pt>
                <c:pt idx="6">
                  <c:v>1156</c:v>
                </c:pt>
                <c:pt idx="7">
                  <c:v>1437</c:v>
                </c:pt>
                <c:pt idx="8">
                  <c:v>1204</c:v>
                </c:pt>
                <c:pt idx="9">
                  <c:v>1864</c:v>
                </c:pt>
                <c:pt idx="10">
                  <c:v>2036</c:v>
                </c:pt>
                <c:pt idx="11">
                  <c:v>1441</c:v>
                </c:pt>
                <c:pt idx="12">
                  <c:v>858</c:v>
                </c:pt>
                <c:pt idx="13">
                  <c:v>784</c:v>
                </c:pt>
                <c:pt idx="14">
                  <c:v>1692</c:v>
                </c:pt>
                <c:pt idx="15">
                  <c:v>2908</c:v>
                </c:pt>
                <c:pt idx="16">
                  <c:v>1156</c:v>
                </c:pt>
                <c:pt idx="17">
                  <c:v>2520</c:v>
                </c:pt>
                <c:pt idx="18">
                  <c:v>1068</c:v>
                </c:pt>
                <c:pt idx="19">
                  <c:v>1114</c:v>
                </c:pt>
                <c:pt idx="20">
                  <c:v>1266</c:v>
                </c:pt>
                <c:pt idx="21">
                  <c:v>1126</c:v>
                </c:pt>
                <c:pt idx="22">
                  <c:v>2618</c:v>
                </c:pt>
                <c:pt idx="23">
                  <c:v>1698</c:v>
                </c:pt>
                <c:pt idx="24">
                  <c:v>2766</c:v>
                </c:pt>
                <c:pt idx="25">
                  <c:v>1464</c:v>
                </c:pt>
                <c:pt idx="26">
                  <c:v>1896</c:v>
                </c:pt>
                <c:pt idx="27">
                  <c:v>1531</c:v>
                </c:pt>
                <c:pt idx="28">
                  <c:v>1098</c:v>
                </c:pt>
                <c:pt idx="29">
                  <c:v>1232</c:v>
                </c:pt>
                <c:pt idx="30">
                  <c:v>1393</c:v>
                </c:pt>
                <c:pt idx="31">
                  <c:v>1983</c:v>
                </c:pt>
                <c:pt idx="32">
                  <c:v>910</c:v>
                </c:pt>
                <c:pt idx="33">
                  <c:v>1207</c:v>
                </c:pt>
                <c:pt idx="34">
                  <c:v>1055</c:v>
                </c:pt>
                <c:pt idx="35">
                  <c:v>1298</c:v>
                </c:pt>
                <c:pt idx="36">
                  <c:v>1111</c:v>
                </c:pt>
                <c:pt idx="37">
                  <c:v>1421</c:v>
                </c:pt>
                <c:pt idx="38">
                  <c:v>1174</c:v>
                </c:pt>
                <c:pt idx="39">
                  <c:v>2735</c:v>
                </c:pt>
                <c:pt idx="40">
                  <c:v>1338</c:v>
                </c:pt>
                <c:pt idx="41">
                  <c:v>1095</c:v>
                </c:pt>
                <c:pt idx="42">
                  <c:v>1557</c:v>
                </c:pt>
                <c:pt idx="43">
                  <c:v>1049</c:v>
                </c:pt>
                <c:pt idx="44">
                  <c:v>1815</c:v>
                </c:pt>
                <c:pt idx="45">
                  <c:v>1344</c:v>
                </c:pt>
                <c:pt idx="46">
                  <c:v>1334</c:v>
                </c:pt>
                <c:pt idx="47">
                  <c:v>939</c:v>
                </c:pt>
                <c:pt idx="48">
                  <c:v>3648</c:v>
                </c:pt>
                <c:pt idx="49">
                  <c:v>1122</c:v>
                </c:pt>
                <c:pt idx="50">
                  <c:v>1271</c:v>
                </c:pt>
                <c:pt idx="51">
                  <c:v>1295</c:v>
                </c:pt>
                <c:pt idx="52">
                  <c:v>1291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53"/>
                <c:pt idx="0">
                  <c:v>3549</c:v>
                </c:pt>
                <c:pt idx="1">
                  <c:v>1134</c:v>
                </c:pt>
                <c:pt idx="2">
                  <c:v>1593</c:v>
                </c:pt>
                <c:pt idx="3">
                  <c:v>1458.75</c:v>
                </c:pt>
                <c:pt idx="4">
                  <c:v>1621.25</c:v>
                </c:pt>
                <c:pt idx="5">
                  <c:v>1375</c:v>
                </c:pt>
                <c:pt idx="6">
                  <c:v>1376.5</c:v>
                </c:pt>
                <c:pt idx="7">
                  <c:v>817.5</c:v>
                </c:pt>
                <c:pt idx="8">
                  <c:v>1960.5</c:v>
                </c:pt>
                <c:pt idx="9">
                  <c:v>1664</c:v>
                </c:pt>
                <c:pt idx="10">
                  <c:v>1224</c:v>
                </c:pt>
                <c:pt idx="11">
                  <c:v>1407.5</c:v>
                </c:pt>
                <c:pt idx="12">
                  <c:v>1442.5</c:v>
                </c:pt>
                <c:pt idx="13">
                  <c:v>1804.5</c:v>
                </c:pt>
                <c:pt idx="14">
                  <c:v>951</c:v>
                </c:pt>
                <c:pt idx="15">
                  <c:v>1629</c:v>
                </c:pt>
                <c:pt idx="16">
                  <c:v>1262</c:v>
                </c:pt>
                <c:pt idx="17">
                  <c:v>1626</c:v>
                </c:pt>
                <c:pt idx="18">
                  <c:v>999</c:v>
                </c:pt>
                <c:pt idx="19">
                  <c:v>1552</c:v>
                </c:pt>
                <c:pt idx="20">
                  <c:v>759.5</c:v>
                </c:pt>
                <c:pt idx="21">
                  <c:v>1454</c:v>
                </c:pt>
                <c:pt idx="22">
                  <c:v>1496</c:v>
                </c:pt>
                <c:pt idx="23">
                  <c:v>1377.5</c:v>
                </c:pt>
                <c:pt idx="24">
                  <c:v>1017</c:v>
                </c:pt>
                <c:pt idx="25">
                  <c:v>2491</c:v>
                </c:pt>
                <c:pt idx="26">
                  <c:v>1784</c:v>
                </c:pt>
                <c:pt idx="27">
                  <c:v>1783</c:v>
                </c:pt>
                <c:pt idx="28">
                  <c:v>1031.33</c:v>
                </c:pt>
                <c:pt idx="29">
                  <c:v>1535.5</c:v>
                </c:pt>
                <c:pt idx="30">
                  <c:v>1161</c:v>
                </c:pt>
                <c:pt idx="31">
                  <c:v>1788</c:v>
                </c:pt>
                <c:pt idx="32">
                  <c:v>769</c:v>
                </c:pt>
                <c:pt idx="33">
                  <c:v>1462.5</c:v>
                </c:pt>
                <c:pt idx="34">
                  <c:v>1142</c:v>
                </c:pt>
                <c:pt idx="35">
                  <c:v>1502</c:v>
                </c:pt>
                <c:pt idx="36">
                  <c:v>1020</c:v>
                </c:pt>
                <c:pt idx="37">
                  <c:v>1144.5</c:v>
                </c:pt>
                <c:pt idx="38">
                  <c:v>1796</c:v>
                </c:pt>
                <c:pt idx="39">
                  <c:v>1787</c:v>
                </c:pt>
                <c:pt idx="40">
                  <c:v>1037.5</c:v>
                </c:pt>
                <c:pt idx="41">
                  <c:v>2914</c:v>
                </c:pt>
                <c:pt idx="42">
                  <c:v>1084</c:v>
                </c:pt>
                <c:pt idx="43">
                  <c:v>1738</c:v>
                </c:pt>
                <c:pt idx="44">
                  <c:v>2459</c:v>
                </c:pt>
                <c:pt idx="45">
                  <c:v>1686</c:v>
                </c:pt>
                <c:pt idx="46">
                  <c:v>1329</c:v>
                </c:pt>
                <c:pt idx="47">
                  <c:v>1335</c:v>
                </c:pt>
                <c:pt idx="48">
                  <c:v>1124</c:v>
                </c:pt>
                <c:pt idx="49">
                  <c:v>1538</c:v>
                </c:pt>
                <c:pt idx="50">
                  <c:v>1107</c:v>
                </c:pt>
                <c:pt idx="51">
                  <c:v>1346</c:v>
                </c:pt>
                <c:pt idx="52">
                  <c:v>1744.5</c:v>
                </c:pt>
              </c:numCache>
            </c:numRef>
          </c:val>
        </c:ser>
        <c:ser>
          <c:idx val="2"/>
          <c:order val="2"/>
          <c:tx>
            <c:v>2005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53"/>
                <c:pt idx="0">
                  <c:v>2024.5</c:v>
                </c:pt>
                <c:pt idx="1">
                  <c:v>884</c:v>
                </c:pt>
                <c:pt idx="2">
                  <c:v>1549</c:v>
                </c:pt>
                <c:pt idx="3">
                  <c:v>896</c:v>
                </c:pt>
                <c:pt idx="4">
                  <c:v>1969</c:v>
                </c:pt>
                <c:pt idx="5">
                  <c:v>2070</c:v>
                </c:pt>
                <c:pt idx="6">
                  <c:v>999.5</c:v>
                </c:pt>
                <c:pt idx="7">
                  <c:v>1272</c:v>
                </c:pt>
                <c:pt idx="8">
                  <c:v>1629</c:v>
                </c:pt>
                <c:pt idx="9">
                  <c:v>878</c:v>
                </c:pt>
                <c:pt idx="10">
                  <c:v>1718.5</c:v>
                </c:pt>
                <c:pt idx="11">
                  <c:v>1476</c:v>
                </c:pt>
                <c:pt idx="12">
                  <c:v>1494</c:v>
                </c:pt>
                <c:pt idx="13">
                  <c:v>965</c:v>
                </c:pt>
                <c:pt idx="14">
                  <c:v>1691</c:v>
                </c:pt>
                <c:pt idx="15">
                  <c:v>1307</c:v>
                </c:pt>
                <c:pt idx="16">
                  <c:v>1138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9326080"/>
        <c:axId val="149336064"/>
        <c:axId val="0"/>
      </c:bar3DChart>
      <c:catAx>
        <c:axId val="14932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3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33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26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25978647686834"/>
          <c:y val="0.95680628272251322"/>
          <c:w val="0.16459074733096091"/>
          <c:h val="3.66492146596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PLEDGE PAYMENTS BY MONTH</a:t>
            </a:r>
          </a:p>
        </c:rich>
      </c:tx>
      <c:layout>
        <c:manualLayout>
          <c:xMode val="edge"/>
          <c:yMode val="edge"/>
          <c:x val="0.30782918149466476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76156583629893E-2"/>
          <c:y val="0.12041884816753928"/>
          <c:w val="0.92259786476868322"/>
          <c:h val="0.75392670157068065"/>
        </c:manualLayout>
      </c:layout>
      <c:bar3DChart>
        <c:barDir val="col"/>
        <c:grouping val="clustered"/>
        <c:varyColors val="0"/>
        <c:ser>
          <c:idx val="0"/>
          <c:order val="0"/>
          <c:tx>
            <c:v>2003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2"/>
                <c:pt idx="0">
                  <c:v>6656</c:v>
                </c:pt>
                <c:pt idx="1">
                  <c:v>6164</c:v>
                </c:pt>
                <c:pt idx="2">
                  <c:v>7403</c:v>
                </c:pt>
                <c:pt idx="3">
                  <c:v>6540</c:v>
                </c:pt>
                <c:pt idx="4">
                  <c:v>5968</c:v>
                </c:pt>
                <c:pt idx="5">
                  <c:v>9672</c:v>
                </c:pt>
                <c:pt idx="6">
                  <c:v>5757</c:v>
                </c:pt>
                <c:pt idx="7">
                  <c:v>5493</c:v>
                </c:pt>
                <c:pt idx="8">
                  <c:v>6059</c:v>
                </c:pt>
                <c:pt idx="9">
                  <c:v>6725</c:v>
                </c:pt>
                <c:pt idx="10">
                  <c:v>5542</c:v>
                </c:pt>
                <c:pt idx="11">
                  <c:v>9566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2"/>
                <c:pt idx="0">
                  <c:v>7734.75</c:v>
                </c:pt>
                <c:pt idx="1">
                  <c:v>5190.25</c:v>
                </c:pt>
                <c:pt idx="2">
                  <c:v>7698.5</c:v>
                </c:pt>
                <c:pt idx="3">
                  <c:v>5646.5</c:v>
                </c:pt>
                <c:pt idx="4">
                  <c:v>4936.5</c:v>
                </c:pt>
                <c:pt idx="5">
                  <c:v>7835.5</c:v>
                </c:pt>
                <c:pt idx="6">
                  <c:v>6133.83</c:v>
                </c:pt>
                <c:pt idx="7">
                  <c:v>5180.5</c:v>
                </c:pt>
                <c:pt idx="8">
                  <c:v>6604.5</c:v>
                </c:pt>
                <c:pt idx="9">
                  <c:v>6822.5</c:v>
                </c:pt>
                <c:pt idx="10">
                  <c:v>7212</c:v>
                </c:pt>
                <c:pt idx="11">
                  <c:v>8194.5</c:v>
                </c:pt>
              </c:numCache>
            </c:numRef>
          </c:val>
        </c:ser>
        <c:ser>
          <c:idx val="2"/>
          <c:order val="2"/>
          <c:tx>
            <c:v>2005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#REF!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2"/>
                <c:pt idx="0">
                  <c:v>5353.5</c:v>
                </c:pt>
                <c:pt idx="1">
                  <c:v>6310.5</c:v>
                </c:pt>
                <c:pt idx="2">
                  <c:v>7195.5</c:v>
                </c:pt>
                <c:pt idx="3">
                  <c:v>5101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983808"/>
        <c:axId val="152985600"/>
        <c:axId val="0"/>
      </c:bar3DChart>
      <c:catAx>
        <c:axId val="15298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98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985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$ (Thousands)</a:t>
                </a:r>
              </a:p>
            </c:rich>
          </c:tx>
          <c:layout>
            <c:manualLayout>
              <c:xMode val="edge"/>
              <c:yMode val="edge"/>
              <c:x val="1.779359430604982E-2"/>
              <c:y val="0.428010471204190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983808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231316725978862"/>
          <c:y val="0.96204188481675401"/>
          <c:w val="0.35854092526690501"/>
          <c:h val="3.66492146596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Cummulative Pledge Payments</a:t>
            </a:r>
          </a:p>
        </c:rich>
      </c:tx>
      <c:layout>
        <c:manualLayout>
          <c:xMode val="edge"/>
          <c:yMode val="edge"/>
          <c:x val="0.3131672597864768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836298932384532E-2"/>
          <c:y val="0.12041884816753928"/>
          <c:w val="0.92348754448398551"/>
          <c:h val="0.76178010471204149"/>
        </c:manualLayout>
      </c:layout>
      <c:barChart>
        <c:barDir val="col"/>
        <c:grouping val="clustered"/>
        <c:varyColors val="0"/>
        <c:ser>
          <c:idx val="0"/>
          <c:order val="0"/>
          <c:tx>
            <c:v>2003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'2003_4_5YTD'!$E$3:$E$14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'2003_4_5YTD'!$F$2:$F$14</c:f>
              <c:numCache>
                <c:formatCode>0.00</c:formatCode>
                <c:ptCount val="13"/>
                <c:pt idx="1">
                  <c:v>6656</c:v>
                </c:pt>
                <c:pt idx="2">
                  <c:v>6164</c:v>
                </c:pt>
                <c:pt idx="3">
                  <c:v>7403</c:v>
                </c:pt>
                <c:pt idx="4">
                  <c:v>6540</c:v>
                </c:pt>
                <c:pt idx="5">
                  <c:v>5968</c:v>
                </c:pt>
                <c:pt idx="6">
                  <c:v>9672</c:v>
                </c:pt>
                <c:pt idx="7">
                  <c:v>5757</c:v>
                </c:pt>
                <c:pt idx="8">
                  <c:v>5493</c:v>
                </c:pt>
                <c:pt idx="9">
                  <c:v>6059</c:v>
                </c:pt>
                <c:pt idx="10">
                  <c:v>6725</c:v>
                </c:pt>
                <c:pt idx="11">
                  <c:v>5542</c:v>
                </c:pt>
                <c:pt idx="12">
                  <c:v>9566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'2003_4_5YTD'!$E$3:$E$14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'2003_4_5YTD'!$G$3:$G$14</c:f>
              <c:numCache>
                <c:formatCode>0.00</c:formatCode>
                <c:ptCount val="12"/>
                <c:pt idx="0">
                  <c:v>7734.75</c:v>
                </c:pt>
                <c:pt idx="1">
                  <c:v>5190.25</c:v>
                </c:pt>
                <c:pt idx="2">
                  <c:v>7698.5</c:v>
                </c:pt>
                <c:pt idx="3">
                  <c:v>5646.5</c:v>
                </c:pt>
                <c:pt idx="4">
                  <c:v>4936.5</c:v>
                </c:pt>
                <c:pt idx="5">
                  <c:v>7835.5</c:v>
                </c:pt>
                <c:pt idx="6">
                  <c:v>6133.83</c:v>
                </c:pt>
                <c:pt idx="7">
                  <c:v>5180.5</c:v>
                </c:pt>
                <c:pt idx="8">
                  <c:v>6604.5</c:v>
                </c:pt>
                <c:pt idx="9">
                  <c:v>6822.5</c:v>
                </c:pt>
                <c:pt idx="10">
                  <c:v>7212</c:v>
                </c:pt>
                <c:pt idx="11">
                  <c:v>8194.5</c:v>
                </c:pt>
              </c:numCache>
            </c:numRef>
          </c:val>
        </c:ser>
        <c:ser>
          <c:idx val="2"/>
          <c:order val="2"/>
          <c:tx>
            <c:v>2005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'2003_4_5YTD'!$E$3:$E$14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'2003_4_5YTD'!$H$3:$H$14</c:f>
              <c:numCache>
                <c:formatCode>0.00</c:formatCode>
                <c:ptCount val="12"/>
                <c:pt idx="0">
                  <c:v>5353.5</c:v>
                </c:pt>
                <c:pt idx="1">
                  <c:v>6310.5</c:v>
                </c:pt>
                <c:pt idx="2">
                  <c:v>7195.5</c:v>
                </c:pt>
                <c:pt idx="3">
                  <c:v>5101</c:v>
                </c:pt>
                <c:pt idx="4">
                  <c:v>7065.5</c:v>
                </c:pt>
                <c:pt idx="5">
                  <c:v>6066</c:v>
                </c:pt>
                <c:pt idx="6">
                  <c:v>5339</c:v>
                </c:pt>
                <c:pt idx="7">
                  <c:v>4661</c:v>
                </c:pt>
                <c:pt idx="8">
                  <c:v>6379.5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69824"/>
        <c:axId val="153071616"/>
      </c:barChart>
      <c:catAx>
        <c:axId val="15306982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07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071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0698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8.8967971530249778E-3"/>
                <c:y val="0.12041884816753928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306049822064203"/>
          <c:y val="0.96073298429319465"/>
          <c:w val="0.16459074733096091"/>
          <c:h val="3.66492146596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1" workbookViewId="0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1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tabSelected="1" workbookViewId="0">
      <selection activeCell="A10" sqref="A10:A11"/>
    </sheetView>
  </sheetViews>
  <sheetFormatPr defaultRowHeight="12.75" x14ac:dyDescent="0.2"/>
  <cols>
    <col min="1" max="1" width="83.5703125" bestFit="1" customWidth="1"/>
    <col min="2" max="2" width="42.7109375" customWidth="1"/>
  </cols>
  <sheetData>
    <row r="1" spans="1:1" ht="20.25" x14ac:dyDescent="0.3">
      <c r="A1" s="4" t="s">
        <v>1</v>
      </c>
    </row>
    <row r="2" spans="1:1" ht="20.25" x14ac:dyDescent="0.3">
      <c r="A2" s="4" t="s">
        <v>216</v>
      </c>
    </row>
    <row r="3" spans="1:1" ht="20.25" x14ac:dyDescent="0.3">
      <c r="A3" s="4" t="s">
        <v>217</v>
      </c>
    </row>
    <row r="4" spans="1:1" x14ac:dyDescent="0.2">
      <c r="A4" s="5"/>
    </row>
    <row r="5" spans="1:1" ht="20.25" x14ac:dyDescent="0.3">
      <c r="A5" s="4" t="s">
        <v>139</v>
      </c>
    </row>
    <row r="6" spans="1:1" x14ac:dyDescent="0.2">
      <c r="A6" s="5"/>
    </row>
    <row r="7" spans="1:1" ht="15.75" x14ac:dyDescent="0.25">
      <c r="A7" s="3" t="s">
        <v>224</v>
      </c>
    </row>
    <row r="8" spans="1:1" x14ac:dyDescent="0.2">
      <c r="A8" s="5"/>
    </row>
    <row r="9" spans="1:1" ht="15.75" x14ac:dyDescent="0.25">
      <c r="A9" s="62" t="s">
        <v>211</v>
      </c>
    </row>
    <row r="11" spans="1:1" ht="15" x14ac:dyDescent="0.2">
      <c r="A11" s="2" t="s">
        <v>2</v>
      </c>
    </row>
    <row r="13" spans="1:1" ht="15" x14ac:dyDescent="0.2">
      <c r="A13" s="2" t="s">
        <v>226</v>
      </c>
    </row>
    <row r="14" spans="1:1" ht="15" x14ac:dyDescent="0.2">
      <c r="A14" s="2"/>
    </row>
    <row r="15" spans="1:1" ht="15" x14ac:dyDescent="0.2">
      <c r="A15" s="2" t="s">
        <v>225</v>
      </c>
    </row>
    <row r="17" spans="1:1" ht="15" x14ac:dyDescent="0.2">
      <c r="A17" s="2" t="s">
        <v>227</v>
      </c>
    </row>
    <row r="18" spans="1:1" x14ac:dyDescent="0.2">
      <c r="A18" s="10"/>
    </row>
    <row r="19" spans="1:1" ht="15" x14ac:dyDescent="0.2">
      <c r="A19" s="2" t="s">
        <v>228</v>
      </c>
    </row>
    <row r="20" spans="1:1" ht="15" hidden="1" x14ac:dyDescent="0.2">
      <c r="A20" s="2" t="s">
        <v>140</v>
      </c>
    </row>
    <row r="21" spans="1:1" ht="15" x14ac:dyDescent="0.2">
      <c r="A21" s="2"/>
    </row>
    <row r="22" spans="1:1" ht="15" x14ac:dyDescent="0.2">
      <c r="A22" s="2"/>
    </row>
    <row r="23" spans="1:1" x14ac:dyDescent="0.2">
      <c r="A23" s="7" t="s">
        <v>4</v>
      </c>
    </row>
  </sheetData>
  <phoneticPr fontId="0" type="noConversion"/>
  <printOptions horizontalCentered="1"/>
  <pageMargins left="0.75" right="0.75" top="1" bottom="1" header="0.5" footer="0.5"/>
  <pageSetup orientation="portrait" horizontalDpi="4294967293" verticalDpi="300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4"/>
  <sheetViews>
    <sheetView zoomScaleNormal="100" workbookViewId="0">
      <selection activeCell="B3" sqref="B3"/>
    </sheetView>
  </sheetViews>
  <sheetFormatPr defaultRowHeight="12.75" x14ac:dyDescent="0.2"/>
  <cols>
    <col min="1" max="1" width="35.5703125" customWidth="1"/>
    <col min="2" max="2" width="18.5703125" customWidth="1"/>
    <col min="3" max="3" width="18.7109375" customWidth="1"/>
    <col min="4" max="4" width="19.42578125" style="16" customWidth="1"/>
    <col min="6" max="6" width="11.85546875" customWidth="1"/>
  </cols>
  <sheetData>
    <row r="1" spans="1:6" ht="15.75" x14ac:dyDescent="0.25">
      <c r="A1" s="69" t="s">
        <v>218</v>
      </c>
      <c r="B1" s="69"/>
      <c r="C1" s="69"/>
      <c r="D1" s="69"/>
    </row>
    <row r="2" spans="1:6" ht="15.75" x14ac:dyDescent="0.25">
      <c r="A2" s="55"/>
      <c r="B2" s="55"/>
      <c r="C2" s="55"/>
      <c r="D2" s="56"/>
    </row>
    <row r="3" spans="1:6" ht="15" x14ac:dyDescent="0.25">
      <c r="A3" s="57"/>
      <c r="B3" s="51" t="s">
        <v>139</v>
      </c>
      <c r="C3" s="51" t="s">
        <v>219</v>
      </c>
      <c r="D3" s="58" t="s">
        <v>206</v>
      </c>
      <c r="F3" s="25"/>
    </row>
    <row r="4" spans="1:6" ht="15" x14ac:dyDescent="0.25">
      <c r="A4" s="57" t="s">
        <v>78</v>
      </c>
      <c r="B4" s="57"/>
      <c r="C4" s="57"/>
      <c r="D4" s="59"/>
      <c r="F4" s="25"/>
    </row>
    <row r="5" spans="1:6" ht="15" x14ac:dyDescent="0.25">
      <c r="A5" s="57"/>
      <c r="B5" s="52"/>
      <c r="C5" s="52"/>
      <c r="D5" s="43"/>
      <c r="F5" s="25"/>
    </row>
    <row r="6" spans="1:6" x14ac:dyDescent="0.2">
      <c r="A6" s="68" t="s">
        <v>214</v>
      </c>
      <c r="B6" s="44">
        <v>0</v>
      </c>
      <c r="C6" s="44">
        <v>0</v>
      </c>
      <c r="D6" s="44">
        <v>2610.19</v>
      </c>
      <c r="F6" s="25"/>
    </row>
    <row r="7" spans="1:6" x14ac:dyDescent="0.2">
      <c r="A7" s="68"/>
      <c r="B7" s="44"/>
      <c r="C7" s="44"/>
      <c r="D7" s="44"/>
      <c r="F7" s="25"/>
    </row>
    <row r="8" spans="1:6" x14ac:dyDescent="0.2">
      <c r="A8" s="68" t="s">
        <v>213</v>
      </c>
      <c r="B8" s="44">
        <v>8476.9599999999991</v>
      </c>
      <c r="C8" s="44">
        <v>21877.23</v>
      </c>
      <c r="D8" s="44">
        <v>19363.330000000002</v>
      </c>
      <c r="F8" s="25"/>
    </row>
    <row r="9" spans="1:6" x14ac:dyDescent="0.2">
      <c r="A9" s="68"/>
      <c r="B9" s="44"/>
      <c r="C9" s="44"/>
      <c r="D9" s="44"/>
    </row>
    <row r="10" spans="1:6" x14ac:dyDescent="0.2">
      <c r="A10" s="68" t="s">
        <v>212</v>
      </c>
      <c r="B10" s="44">
        <v>23330.87</v>
      </c>
      <c r="C10" s="44">
        <v>29414.400000000001</v>
      </c>
      <c r="D10" s="44">
        <v>19394.86</v>
      </c>
    </row>
    <row r="11" spans="1:6" x14ac:dyDescent="0.2">
      <c r="A11" s="68"/>
      <c r="B11" s="44"/>
      <c r="C11" s="44"/>
      <c r="D11" s="44"/>
    </row>
    <row r="12" spans="1:6" x14ac:dyDescent="0.2">
      <c r="A12" s="68" t="s">
        <v>215</v>
      </c>
      <c r="B12" s="66">
        <v>50514.78</v>
      </c>
      <c r="C12" s="44">
        <v>50414</v>
      </c>
      <c r="D12" s="44">
        <v>50275.19</v>
      </c>
    </row>
    <row r="13" spans="1:6" x14ac:dyDescent="0.2">
      <c r="A13" s="60"/>
      <c r="B13" s="44"/>
      <c r="C13" s="44"/>
      <c r="D13" s="44"/>
    </row>
    <row r="14" spans="1:6" ht="15" x14ac:dyDescent="0.25">
      <c r="A14" s="57" t="s">
        <v>86</v>
      </c>
      <c r="B14" s="52">
        <f>SUM(B6:B12)</f>
        <v>82322.61</v>
      </c>
      <c r="C14" s="52">
        <f>SUM(C6:C12)</f>
        <v>101705.63</v>
      </c>
      <c r="D14" s="52">
        <f>SUM(D6:D12)</f>
        <v>91643.57</v>
      </c>
    </row>
    <row r="15" spans="1:6" ht="15" x14ac:dyDescent="0.25">
      <c r="A15" s="57"/>
      <c r="B15" s="52"/>
      <c r="C15" s="52"/>
      <c r="D15" s="52"/>
    </row>
    <row r="16" spans="1:6" ht="15" x14ac:dyDescent="0.25">
      <c r="A16" s="57" t="s">
        <v>87</v>
      </c>
      <c r="B16" s="52"/>
      <c r="C16" s="52"/>
      <c r="D16" s="52"/>
    </row>
    <row r="17" spans="1:6" ht="15" x14ac:dyDescent="0.25">
      <c r="A17" s="57" t="s">
        <v>88</v>
      </c>
      <c r="B17" s="52"/>
      <c r="C17" s="52"/>
      <c r="D17" s="52"/>
    </row>
    <row r="18" spans="1:6" ht="15" x14ac:dyDescent="0.25">
      <c r="A18" s="57"/>
      <c r="B18" s="52"/>
      <c r="C18" s="44"/>
      <c r="D18" s="44"/>
    </row>
    <row r="19" spans="1:6" x14ac:dyDescent="0.2">
      <c r="A19" s="60" t="s">
        <v>118</v>
      </c>
      <c r="B19" s="44">
        <v>372.92</v>
      </c>
      <c r="C19" s="44">
        <v>0</v>
      </c>
      <c r="D19" s="44">
        <v>567.6</v>
      </c>
    </row>
    <row r="20" spans="1:6" x14ac:dyDescent="0.2">
      <c r="A20" s="60"/>
      <c r="B20" s="44"/>
      <c r="C20" s="44"/>
      <c r="D20" s="44"/>
    </row>
    <row r="21" spans="1:6" ht="15" x14ac:dyDescent="0.25">
      <c r="A21" s="59" t="s">
        <v>91</v>
      </c>
      <c r="B21" s="52">
        <f>SUM(B19:B19)</f>
        <v>372.92</v>
      </c>
      <c r="C21" s="52">
        <f>SUM(C18:C19)</f>
        <v>0</v>
      </c>
      <c r="D21" s="52">
        <f>SUM(D18:D19)</f>
        <v>567.6</v>
      </c>
    </row>
    <row r="22" spans="1:6" x14ac:dyDescent="0.2">
      <c r="A22" s="60"/>
      <c r="B22" s="44"/>
      <c r="C22" s="44"/>
      <c r="D22" s="44"/>
    </row>
    <row r="23" spans="1:6" ht="15" x14ac:dyDescent="0.25">
      <c r="A23" s="57" t="s">
        <v>92</v>
      </c>
      <c r="B23" s="52"/>
      <c r="C23" s="52"/>
      <c r="D23" s="52"/>
      <c r="F23" s="25"/>
    </row>
    <row r="24" spans="1:6" ht="15" x14ac:dyDescent="0.25">
      <c r="A24" s="57"/>
      <c r="B24" s="52"/>
      <c r="C24" s="52"/>
      <c r="D24" s="44"/>
      <c r="F24" s="25"/>
    </row>
    <row r="25" spans="1:6" x14ac:dyDescent="0.2">
      <c r="A25" s="60" t="s">
        <v>171</v>
      </c>
      <c r="B25" s="44">
        <v>37284.980000000003</v>
      </c>
      <c r="C25" s="44">
        <v>14985.98</v>
      </c>
      <c r="D25" s="44">
        <v>14985.98</v>
      </c>
      <c r="F25" s="25"/>
    </row>
    <row r="26" spans="1:6" x14ac:dyDescent="0.2">
      <c r="A26" s="60"/>
      <c r="B26" s="44"/>
      <c r="C26" s="44"/>
      <c r="D26" s="44"/>
      <c r="F26" s="25"/>
    </row>
    <row r="27" spans="1:6" x14ac:dyDescent="0.2">
      <c r="A27" s="60" t="s">
        <v>94</v>
      </c>
      <c r="B27" s="44">
        <v>18392.2</v>
      </c>
      <c r="C27" s="44">
        <v>18492.2</v>
      </c>
      <c r="D27" s="44">
        <v>18492.2</v>
      </c>
      <c r="F27" s="25"/>
    </row>
    <row r="28" spans="1:6" x14ac:dyDescent="0.2">
      <c r="A28" s="60"/>
      <c r="B28" s="44"/>
      <c r="C28" s="44"/>
      <c r="D28" s="44"/>
    </row>
    <row r="29" spans="1:6" ht="15" x14ac:dyDescent="0.25">
      <c r="A29" s="61" t="s">
        <v>101</v>
      </c>
      <c r="B29" s="52">
        <f>SUM(B25:B28)</f>
        <v>55677.180000000008</v>
      </c>
      <c r="C29" s="52">
        <f>SUM(C25:C28)</f>
        <v>33478.18</v>
      </c>
      <c r="D29" s="52">
        <f>SUM(D25:D28)</f>
        <v>33478.18</v>
      </c>
    </row>
    <row r="30" spans="1:6" ht="11.45" customHeight="1" x14ac:dyDescent="0.2">
      <c r="A30" s="61"/>
      <c r="B30" s="45"/>
      <c r="C30" s="45"/>
      <c r="D30" s="45"/>
    </row>
    <row r="31" spans="1:6" x14ac:dyDescent="0.2">
      <c r="A31" s="60" t="s">
        <v>108</v>
      </c>
      <c r="B31" s="44">
        <v>1343.95</v>
      </c>
      <c r="C31" s="44">
        <v>1343.95</v>
      </c>
      <c r="D31" s="44">
        <v>1343.95</v>
      </c>
    </row>
    <row r="32" spans="1:6" x14ac:dyDescent="0.2">
      <c r="A32" s="60"/>
      <c r="B32" s="44"/>
      <c r="C32" s="44"/>
      <c r="D32" s="44"/>
    </row>
    <row r="33" spans="1:6" x14ac:dyDescent="0.2">
      <c r="A33" s="60" t="s">
        <v>172</v>
      </c>
      <c r="B33" s="44">
        <v>0</v>
      </c>
      <c r="C33" s="44">
        <v>0</v>
      </c>
      <c r="D33" s="44">
        <v>0</v>
      </c>
      <c r="F33" s="25"/>
    </row>
    <row r="34" spans="1:6" x14ac:dyDescent="0.2">
      <c r="A34" s="60"/>
      <c r="B34" s="44"/>
      <c r="C34" s="44"/>
      <c r="D34" s="44"/>
    </row>
    <row r="35" spans="1:6" ht="15" x14ac:dyDescent="0.25">
      <c r="A35" s="61" t="s">
        <v>112</v>
      </c>
      <c r="B35" s="52">
        <f>SUM(B31:B33)</f>
        <v>1343.95</v>
      </c>
      <c r="C35" s="52">
        <f>SUM(C31:C33)</f>
        <v>1343.95</v>
      </c>
      <c r="D35" s="52">
        <f>SUM(D31:D33)</f>
        <v>1343.95</v>
      </c>
      <c r="F35" s="25"/>
    </row>
    <row r="36" spans="1:6" x14ac:dyDescent="0.2">
      <c r="A36" s="60"/>
      <c r="B36" s="44"/>
      <c r="C36" s="44"/>
      <c r="D36" s="66"/>
    </row>
    <row r="37" spans="1:6" ht="15" x14ac:dyDescent="0.25">
      <c r="A37" s="57" t="s">
        <v>197</v>
      </c>
      <c r="B37" s="52">
        <v>44684.5</v>
      </c>
      <c r="C37" s="52">
        <v>56253.84</v>
      </c>
      <c r="D37" s="52">
        <v>43144.25</v>
      </c>
      <c r="F37" s="25"/>
    </row>
    <row r="38" spans="1:6" x14ac:dyDescent="0.2">
      <c r="A38" s="60"/>
      <c r="B38" s="44"/>
      <c r="C38" s="44"/>
      <c r="D38" s="43"/>
      <c r="F38" s="25"/>
    </row>
    <row r="39" spans="1:6" ht="15" x14ac:dyDescent="0.25">
      <c r="A39" s="61" t="s">
        <v>76</v>
      </c>
      <c r="B39" s="52">
        <v>-19755.939999999999</v>
      </c>
      <c r="C39" s="52">
        <v>10629.66</v>
      </c>
      <c r="D39" s="52">
        <v>13109.59</v>
      </c>
      <c r="F39" s="25"/>
    </row>
    <row r="40" spans="1:6" ht="15" x14ac:dyDescent="0.25">
      <c r="A40" s="57"/>
      <c r="B40" s="52"/>
      <c r="C40" s="52"/>
      <c r="D40" s="52"/>
      <c r="F40" s="25"/>
    </row>
    <row r="41" spans="1:6" ht="15" x14ac:dyDescent="0.25">
      <c r="A41" s="57" t="s">
        <v>114</v>
      </c>
      <c r="B41" s="52">
        <f>B39+B35+B29+B21+B37</f>
        <v>82322.610000000015</v>
      </c>
      <c r="C41" s="52">
        <f>C39+C35+C29+C21+C37</f>
        <v>101705.63</v>
      </c>
      <c r="D41" s="52">
        <f>D39+D35+D29+D21+D37</f>
        <v>91643.57</v>
      </c>
      <c r="F41" s="25"/>
    </row>
    <row r="42" spans="1:6" x14ac:dyDescent="0.2">
      <c r="C42" s="10"/>
      <c r="D42" s="46"/>
    </row>
    <row r="43" spans="1:6" x14ac:dyDescent="0.2">
      <c r="C43" s="10"/>
      <c r="D43" s="46"/>
    </row>
    <row r="44" spans="1:6" x14ac:dyDescent="0.2">
      <c r="C44" s="10"/>
      <c r="D44" s="46"/>
    </row>
    <row r="45" spans="1:6" x14ac:dyDescent="0.2">
      <c r="C45" s="10"/>
      <c r="D45" s="46"/>
    </row>
    <row r="46" spans="1:6" x14ac:dyDescent="0.2">
      <c r="C46" s="10"/>
      <c r="D46" s="46"/>
    </row>
    <row r="47" spans="1:6" x14ac:dyDescent="0.2">
      <c r="C47" s="10"/>
      <c r="D47" s="47"/>
    </row>
    <row r="48" spans="1:6" x14ac:dyDescent="0.2">
      <c r="C48" s="10"/>
      <c r="D48" s="47"/>
    </row>
    <row r="49" spans="3:4" x14ac:dyDescent="0.2">
      <c r="C49" s="10"/>
      <c r="D49" s="47"/>
    </row>
    <row r="50" spans="3:4" x14ac:dyDescent="0.2">
      <c r="C50" s="10"/>
      <c r="D50" s="47"/>
    </row>
    <row r="51" spans="3:4" x14ac:dyDescent="0.2">
      <c r="C51" s="10"/>
      <c r="D51" s="47"/>
    </row>
    <row r="52" spans="3:4" x14ac:dyDescent="0.2">
      <c r="C52" s="10"/>
      <c r="D52" s="47"/>
    </row>
    <row r="53" spans="3:4" x14ac:dyDescent="0.2">
      <c r="C53" s="10"/>
      <c r="D53" s="47"/>
    </row>
    <row r="54" spans="3:4" x14ac:dyDescent="0.2">
      <c r="C54" s="10"/>
      <c r="D54" s="47"/>
    </row>
    <row r="55" spans="3:4" x14ac:dyDescent="0.2">
      <c r="C55" s="10"/>
      <c r="D55" s="47"/>
    </row>
    <row r="56" spans="3:4" x14ac:dyDescent="0.2">
      <c r="C56" s="10"/>
      <c r="D56" s="47"/>
    </row>
    <row r="57" spans="3:4" x14ac:dyDescent="0.2">
      <c r="C57" s="10"/>
      <c r="D57" s="47"/>
    </row>
    <row r="58" spans="3:4" x14ac:dyDescent="0.2">
      <c r="C58" s="10"/>
      <c r="D58" s="47"/>
    </row>
    <row r="59" spans="3:4" x14ac:dyDescent="0.2">
      <c r="C59" s="10"/>
      <c r="D59" s="47"/>
    </row>
    <row r="60" spans="3:4" x14ac:dyDescent="0.2">
      <c r="C60" s="10"/>
      <c r="D60" s="47"/>
    </row>
    <row r="61" spans="3:4" x14ac:dyDescent="0.2">
      <c r="C61" s="10"/>
      <c r="D61" s="47"/>
    </row>
    <row r="62" spans="3:4" x14ac:dyDescent="0.2">
      <c r="C62" s="10"/>
      <c r="D62" s="47"/>
    </row>
    <row r="63" spans="3:4" x14ac:dyDescent="0.2">
      <c r="C63" s="10"/>
      <c r="D63" s="47"/>
    </row>
    <row r="64" spans="3:4" x14ac:dyDescent="0.2">
      <c r="C64" s="10"/>
      <c r="D64" s="47"/>
    </row>
    <row r="65" spans="3:4" x14ac:dyDescent="0.2">
      <c r="C65" s="10"/>
      <c r="D65" s="47"/>
    </row>
    <row r="66" spans="3:4" x14ac:dyDescent="0.2">
      <c r="C66" s="10"/>
      <c r="D66" s="47"/>
    </row>
    <row r="67" spans="3:4" x14ac:dyDescent="0.2">
      <c r="C67" s="10"/>
      <c r="D67" s="47"/>
    </row>
    <row r="68" spans="3:4" x14ac:dyDescent="0.2">
      <c r="C68" s="10"/>
      <c r="D68" s="47"/>
    </row>
    <row r="69" spans="3:4" x14ac:dyDescent="0.2">
      <c r="C69" s="10"/>
      <c r="D69" s="47"/>
    </row>
    <row r="70" spans="3:4" x14ac:dyDescent="0.2">
      <c r="C70" s="10"/>
      <c r="D70" s="47"/>
    </row>
    <row r="71" spans="3:4" x14ac:dyDescent="0.2">
      <c r="C71" s="10"/>
      <c r="D71" s="47"/>
    </row>
    <row r="72" spans="3:4" x14ac:dyDescent="0.2">
      <c r="C72" s="10"/>
      <c r="D72" s="47"/>
    </row>
    <row r="73" spans="3:4" x14ac:dyDescent="0.2">
      <c r="C73" s="10"/>
      <c r="D73" s="47"/>
    </row>
    <row r="74" spans="3:4" x14ac:dyDescent="0.2">
      <c r="C74" s="10"/>
      <c r="D74" s="47"/>
    </row>
    <row r="75" spans="3:4" x14ac:dyDescent="0.2">
      <c r="C75" s="10"/>
      <c r="D75" s="47"/>
    </row>
    <row r="76" spans="3:4" x14ac:dyDescent="0.2">
      <c r="C76" s="10"/>
      <c r="D76" s="47"/>
    </row>
    <row r="77" spans="3:4" x14ac:dyDescent="0.2">
      <c r="C77" s="10"/>
      <c r="D77" s="47"/>
    </row>
    <row r="78" spans="3:4" x14ac:dyDescent="0.2">
      <c r="C78" s="10"/>
      <c r="D78" s="47"/>
    </row>
    <row r="79" spans="3:4" x14ac:dyDescent="0.2">
      <c r="C79" s="10"/>
      <c r="D79" s="47"/>
    </row>
    <row r="80" spans="3:4" x14ac:dyDescent="0.2">
      <c r="C80" s="10"/>
      <c r="D80" s="47"/>
    </row>
    <row r="81" spans="3:4" x14ac:dyDescent="0.2">
      <c r="C81" s="10"/>
      <c r="D81" s="47"/>
    </row>
    <row r="82" spans="3:4" x14ac:dyDescent="0.2">
      <c r="C82" s="10"/>
      <c r="D82" s="47"/>
    </row>
    <row r="83" spans="3:4" x14ac:dyDescent="0.2">
      <c r="C83" s="10"/>
      <c r="D83" s="47"/>
    </row>
    <row r="84" spans="3:4" x14ac:dyDescent="0.2">
      <c r="C84" s="10"/>
      <c r="D84" s="47"/>
    </row>
    <row r="85" spans="3:4" x14ac:dyDescent="0.2">
      <c r="C85" s="10"/>
      <c r="D85" s="47"/>
    </row>
    <row r="86" spans="3:4" x14ac:dyDescent="0.2">
      <c r="C86" s="10"/>
      <c r="D86" s="47"/>
    </row>
    <row r="87" spans="3:4" x14ac:dyDescent="0.2">
      <c r="C87" s="10"/>
      <c r="D87" s="47"/>
    </row>
    <row r="88" spans="3:4" x14ac:dyDescent="0.2">
      <c r="C88" s="10"/>
      <c r="D88" s="47"/>
    </row>
    <row r="89" spans="3:4" x14ac:dyDescent="0.2">
      <c r="C89" s="10"/>
      <c r="D89" s="47"/>
    </row>
    <row r="90" spans="3:4" x14ac:dyDescent="0.2">
      <c r="C90" s="10"/>
      <c r="D90" s="47"/>
    </row>
    <row r="91" spans="3:4" x14ac:dyDescent="0.2">
      <c r="C91" s="10"/>
      <c r="D91" s="47"/>
    </row>
    <row r="92" spans="3:4" x14ac:dyDescent="0.2">
      <c r="C92" s="10"/>
      <c r="D92" s="47"/>
    </row>
    <row r="93" spans="3:4" x14ac:dyDescent="0.2">
      <c r="C93" s="10"/>
      <c r="D93" s="47"/>
    </row>
    <row r="94" spans="3:4" x14ac:dyDescent="0.2">
      <c r="C94" s="10"/>
      <c r="D94" s="47"/>
    </row>
    <row r="95" spans="3:4" x14ac:dyDescent="0.2">
      <c r="C95" s="10"/>
      <c r="D95" s="47"/>
    </row>
    <row r="96" spans="3:4" x14ac:dyDescent="0.2">
      <c r="C96" s="10"/>
      <c r="D96" s="47"/>
    </row>
    <row r="97" spans="3:4" x14ac:dyDescent="0.2">
      <c r="C97" s="10"/>
      <c r="D97" s="47"/>
    </row>
    <row r="98" spans="3:4" x14ac:dyDescent="0.2">
      <c r="C98" s="10"/>
      <c r="D98" s="47"/>
    </row>
    <row r="99" spans="3:4" x14ac:dyDescent="0.2">
      <c r="C99" s="10"/>
      <c r="D99" s="47"/>
    </row>
    <row r="100" spans="3:4" x14ac:dyDescent="0.2">
      <c r="C100" s="10"/>
      <c r="D100" s="47"/>
    </row>
    <row r="101" spans="3:4" x14ac:dyDescent="0.2">
      <c r="C101" s="10"/>
      <c r="D101" s="47"/>
    </row>
    <row r="102" spans="3:4" x14ac:dyDescent="0.2">
      <c r="C102" s="10"/>
      <c r="D102" s="47"/>
    </row>
    <row r="103" spans="3:4" x14ac:dyDescent="0.2">
      <c r="C103" s="10"/>
      <c r="D103" s="47"/>
    </row>
    <row r="104" spans="3:4" x14ac:dyDescent="0.2">
      <c r="C104" s="10"/>
      <c r="D104" s="47"/>
    </row>
    <row r="105" spans="3:4" x14ac:dyDescent="0.2">
      <c r="C105" s="10"/>
      <c r="D105" s="47"/>
    </row>
    <row r="106" spans="3:4" x14ac:dyDescent="0.2">
      <c r="C106" s="10"/>
      <c r="D106" s="47"/>
    </row>
    <row r="107" spans="3:4" x14ac:dyDescent="0.2">
      <c r="C107" s="10"/>
      <c r="D107" s="47"/>
    </row>
    <row r="108" spans="3:4" x14ac:dyDescent="0.2">
      <c r="C108" s="10"/>
      <c r="D108" s="47"/>
    </row>
    <row r="109" spans="3:4" x14ac:dyDescent="0.2">
      <c r="C109" s="10"/>
      <c r="D109" s="47"/>
    </row>
    <row r="110" spans="3:4" x14ac:dyDescent="0.2">
      <c r="C110" s="10"/>
      <c r="D110" s="47"/>
    </row>
    <row r="111" spans="3:4" x14ac:dyDescent="0.2">
      <c r="C111" s="10"/>
      <c r="D111" s="47"/>
    </row>
    <row r="112" spans="3:4" x14ac:dyDescent="0.2">
      <c r="C112" s="10"/>
      <c r="D112" s="47"/>
    </row>
    <row r="113" spans="3:4" x14ac:dyDescent="0.2">
      <c r="C113" s="10"/>
      <c r="D113" s="47"/>
    </row>
    <row r="114" spans="3:4" x14ac:dyDescent="0.2">
      <c r="C114" s="10"/>
      <c r="D114" s="47"/>
    </row>
    <row r="115" spans="3:4" x14ac:dyDescent="0.2">
      <c r="C115" s="10"/>
      <c r="D115" s="47"/>
    </row>
    <row r="116" spans="3:4" x14ac:dyDescent="0.2">
      <c r="C116" s="10"/>
      <c r="D116" s="47"/>
    </row>
    <row r="117" spans="3:4" x14ac:dyDescent="0.2">
      <c r="C117" s="10"/>
      <c r="D117" s="47"/>
    </row>
    <row r="118" spans="3:4" x14ac:dyDescent="0.2">
      <c r="C118" s="10"/>
      <c r="D118" s="47"/>
    </row>
    <row r="119" spans="3:4" x14ac:dyDescent="0.2">
      <c r="C119" s="10"/>
      <c r="D119" s="47"/>
    </row>
    <row r="120" spans="3:4" x14ac:dyDescent="0.2">
      <c r="C120" s="10"/>
      <c r="D120" s="47"/>
    </row>
    <row r="121" spans="3:4" x14ac:dyDescent="0.2">
      <c r="C121" s="10"/>
      <c r="D121" s="47"/>
    </row>
    <row r="122" spans="3:4" x14ac:dyDescent="0.2">
      <c r="C122" s="10"/>
      <c r="D122" s="47"/>
    </row>
    <row r="123" spans="3:4" x14ac:dyDescent="0.2">
      <c r="C123" s="10"/>
      <c r="D123" s="47"/>
    </row>
    <row r="124" spans="3:4" x14ac:dyDescent="0.2">
      <c r="C124" s="10"/>
      <c r="D124" s="47"/>
    </row>
    <row r="125" spans="3:4" x14ac:dyDescent="0.2">
      <c r="C125" s="10"/>
      <c r="D125" s="47"/>
    </row>
    <row r="126" spans="3:4" x14ac:dyDescent="0.2">
      <c r="C126" s="10"/>
      <c r="D126" s="47"/>
    </row>
    <row r="127" spans="3:4" x14ac:dyDescent="0.2">
      <c r="C127" s="10"/>
      <c r="D127" s="47"/>
    </row>
    <row r="128" spans="3:4" x14ac:dyDescent="0.2">
      <c r="C128" s="10"/>
      <c r="D128" s="47"/>
    </row>
    <row r="129" spans="3:4" x14ac:dyDescent="0.2">
      <c r="C129" s="10"/>
      <c r="D129" s="47"/>
    </row>
    <row r="130" spans="3:4" x14ac:dyDescent="0.2">
      <c r="C130" s="10"/>
      <c r="D130" s="47"/>
    </row>
    <row r="131" spans="3:4" x14ac:dyDescent="0.2">
      <c r="C131" s="10"/>
      <c r="D131" s="47"/>
    </row>
    <row r="132" spans="3:4" x14ac:dyDescent="0.2">
      <c r="C132" s="10"/>
      <c r="D132" s="47"/>
    </row>
    <row r="133" spans="3:4" x14ac:dyDescent="0.2">
      <c r="C133" s="10"/>
      <c r="D133" s="47"/>
    </row>
    <row r="134" spans="3:4" x14ac:dyDescent="0.2">
      <c r="C134" s="10"/>
      <c r="D134" s="47"/>
    </row>
    <row r="135" spans="3:4" x14ac:dyDescent="0.2">
      <c r="C135" s="10"/>
      <c r="D135" s="47"/>
    </row>
    <row r="136" spans="3:4" x14ac:dyDescent="0.2">
      <c r="C136" s="10"/>
      <c r="D136" s="47"/>
    </row>
    <row r="137" spans="3:4" x14ac:dyDescent="0.2">
      <c r="C137" s="10"/>
      <c r="D137" s="47"/>
    </row>
    <row r="138" spans="3:4" x14ac:dyDescent="0.2">
      <c r="C138" s="10"/>
      <c r="D138" s="47"/>
    </row>
    <row r="139" spans="3:4" x14ac:dyDescent="0.2">
      <c r="C139" s="10"/>
      <c r="D139" s="47"/>
    </row>
    <row r="140" spans="3:4" x14ac:dyDescent="0.2">
      <c r="C140" s="10"/>
      <c r="D140" s="47"/>
    </row>
    <row r="141" spans="3:4" x14ac:dyDescent="0.2">
      <c r="C141" s="10"/>
      <c r="D141" s="47"/>
    </row>
    <row r="142" spans="3:4" x14ac:dyDescent="0.2">
      <c r="C142" s="10"/>
      <c r="D142" s="47"/>
    </row>
    <row r="143" spans="3:4" x14ac:dyDescent="0.2">
      <c r="C143" s="10"/>
      <c r="D143" s="47"/>
    </row>
    <row r="144" spans="3:4" x14ac:dyDescent="0.2">
      <c r="C144" s="10"/>
      <c r="D144" s="47"/>
    </row>
    <row r="145" spans="3:4" x14ac:dyDescent="0.2">
      <c r="C145" s="10"/>
      <c r="D145" s="47"/>
    </row>
    <row r="146" spans="3:4" x14ac:dyDescent="0.2">
      <c r="C146" s="10"/>
      <c r="D146" s="47"/>
    </row>
    <row r="147" spans="3:4" x14ac:dyDescent="0.2">
      <c r="C147" s="10"/>
      <c r="D147" s="47"/>
    </row>
    <row r="148" spans="3:4" x14ac:dyDescent="0.2">
      <c r="C148" s="10"/>
      <c r="D148" s="47"/>
    </row>
    <row r="149" spans="3:4" x14ac:dyDescent="0.2">
      <c r="C149" s="10"/>
      <c r="D149" s="47"/>
    </row>
    <row r="150" spans="3:4" x14ac:dyDescent="0.2">
      <c r="C150" s="10"/>
      <c r="D150" s="47"/>
    </row>
    <row r="151" spans="3:4" x14ac:dyDescent="0.2">
      <c r="C151" s="10"/>
      <c r="D151" s="47"/>
    </row>
    <row r="152" spans="3:4" x14ac:dyDescent="0.2">
      <c r="C152" s="10"/>
      <c r="D152" s="47"/>
    </row>
    <row r="153" spans="3:4" x14ac:dyDescent="0.2">
      <c r="C153" s="10"/>
      <c r="D153" s="47"/>
    </row>
    <row r="154" spans="3:4" x14ac:dyDescent="0.2">
      <c r="C154" s="10"/>
      <c r="D154" s="47"/>
    </row>
    <row r="155" spans="3:4" x14ac:dyDescent="0.2">
      <c r="C155" s="10"/>
      <c r="D155" s="47"/>
    </row>
    <row r="156" spans="3:4" x14ac:dyDescent="0.2">
      <c r="C156" s="10"/>
      <c r="D156" s="47"/>
    </row>
    <row r="157" spans="3:4" x14ac:dyDescent="0.2">
      <c r="C157" s="10"/>
      <c r="D157" s="47"/>
    </row>
    <row r="158" spans="3:4" x14ac:dyDescent="0.2">
      <c r="C158" s="10"/>
      <c r="D158" s="47"/>
    </row>
    <row r="159" spans="3:4" x14ac:dyDescent="0.2">
      <c r="C159" s="10"/>
      <c r="D159" s="47"/>
    </row>
    <row r="160" spans="3:4" x14ac:dyDescent="0.2">
      <c r="C160" s="10"/>
      <c r="D160" s="47"/>
    </row>
    <row r="161" spans="3:4" x14ac:dyDescent="0.2">
      <c r="C161" s="10"/>
      <c r="D161" s="47"/>
    </row>
    <row r="162" spans="3:4" x14ac:dyDescent="0.2">
      <c r="C162" s="10"/>
      <c r="D162" s="47"/>
    </row>
    <row r="163" spans="3:4" x14ac:dyDescent="0.2">
      <c r="C163" s="10"/>
      <c r="D163" s="47"/>
    </row>
    <row r="164" spans="3:4" x14ac:dyDescent="0.2">
      <c r="C164" s="10"/>
      <c r="D164" s="47"/>
    </row>
    <row r="165" spans="3:4" x14ac:dyDescent="0.2">
      <c r="C165" s="10"/>
      <c r="D165" s="47"/>
    </row>
    <row r="166" spans="3:4" x14ac:dyDescent="0.2">
      <c r="C166" s="10"/>
      <c r="D166" s="47"/>
    </row>
    <row r="167" spans="3:4" x14ac:dyDescent="0.2">
      <c r="C167" s="10"/>
      <c r="D167" s="47"/>
    </row>
    <row r="168" spans="3:4" x14ac:dyDescent="0.2">
      <c r="C168" s="10"/>
      <c r="D168" s="47"/>
    </row>
    <row r="169" spans="3:4" x14ac:dyDescent="0.2">
      <c r="C169" s="10"/>
      <c r="D169" s="47"/>
    </row>
    <row r="170" spans="3:4" x14ac:dyDescent="0.2">
      <c r="C170" s="10"/>
      <c r="D170" s="47"/>
    </row>
    <row r="171" spans="3:4" x14ac:dyDescent="0.2">
      <c r="C171" s="10"/>
      <c r="D171" s="47"/>
    </row>
    <row r="172" spans="3:4" x14ac:dyDescent="0.2">
      <c r="C172" s="10"/>
      <c r="D172" s="47"/>
    </row>
    <row r="173" spans="3:4" x14ac:dyDescent="0.2">
      <c r="C173" s="10"/>
      <c r="D173" s="47"/>
    </row>
    <row r="174" spans="3:4" x14ac:dyDescent="0.2">
      <c r="C174" s="10"/>
      <c r="D174" s="47"/>
    </row>
    <row r="175" spans="3:4" x14ac:dyDescent="0.2">
      <c r="C175" s="10"/>
      <c r="D175" s="47"/>
    </row>
    <row r="176" spans="3:4" x14ac:dyDescent="0.2">
      <c r="C176" s="10"/>
      <c r="D176" s="47"/>
    </row>
    <row r="177" spans="3:4" x14ac:dyDescent="0.2">
      <c r="C177" s="10"/>
      <c r="D177" s="47"/>
    </row>
    <row r="178" spans="3:4" x14ac:dyDescent="0.2">
      <c r="C178" s="10"/>
      <c r="D178" s="47"/>
    </row>
    <row r="179" spans="3:4" x14ac:dyDescent="0.2">
      <c r="C179" s="10"/>
      <c r="D179" s="47"/>
    </row>
    <row r="180" spans="3:4" x14ac:dyDescent="0.2">
      <c r="C180" s="10"/>
      <c r="D180" s="47"/>
    </row>
    <row r="181" spans="3:4" x14ac:dyDescent="0.2">
      <c r="C181" s="10"/>
      <c r="D181" s="47"/>
    </row>
    <row r="182" spans="3:4" x14ac:dyDescent="0.2">
      <c r="C182" s="10"/>
      <c r="D182" s="47"/>
    </row>
    <row r="183" spans="3:4" x14ac:dyDescent="0.2">
      <c r="C183" s="10"/>
      <c r="D183" s="47"/>
    </row>
    <row r="184" spans="3:4" x14ac:dyDescent="0.2">
      <c r="C184" s="10"/>
      <c r="D184" s="47"/>
    </row>
    <row r="185" spans="3:4" x14ac:dyDescent="0.2">
      <c r="C185" s="10"/>
      <c r="D185" s="47"/>
    </row>
    <row r="186" spans="3:4" x14ac:dyDescent="0.2">
      <c r="C186" s="10"/>
      <c r="D186" s="47"/>
    </row>
    <row r="187" spans="3:4" x14ac:dyDescent="0.2">
      <c r="C187" s="10"/>
      <c r="D187" s="47"/>
    </row>
    <row r="188" spans="3:4" x14ac:dyDescent="0.2">
      <c r="C188" s="10"/>
      <c r="D188" s="47"/>
    </row>
    <row r="189" spans="3:4" x14ac:dyDescent="0.2">
      <c r="C189" s="10"/>
      <c r="D189" s="47"/>
    </row>
    <row r="190" spans="3:4" x14ac:dyDescent="0.2">
      <c r="C190" s="10"/>
      <c r="D190" s="47"/>
    </row>
    <row r="191" spans="3:4" x14ac:dyDescent="0.2">
      <c r="C191" s="10"/>
      <c r="D191" s="47"/>
    </row>
    <row r="192" spans="3:4" x14ac:dyDescent="0.2">
      <c r="C192" s="10"/>
      <c r="D192" s="47"/>
    </row>
    <row r="193" spans="3:4" x14ac:dyDescent="0.2">
      <c r="C193" s="10"/>
      <c r="D193" s="47"/>
    </row>
    <row r="194" spans="3:4" x14ac:dyDescent="0.2">
      <c r="C194" s="10"/>
      <c r="D194" s="47"/>
    </row>
    <row r="195" spans="3:4" x14ac:dyDescent="0.2">
      <c r="C195" s="10"/>
      <c r="D195" s="47"/>
    </row>
    <row r="196" spans="3:4" x14ac:dyDescent="0.2">
      <c r="C196" s="10"/>
      <c r="D196" s="47"/>
    </row>
    <row r="197" spans="3:4" x14ac:dyDescent="0.2">
      <c r="C197" s="10"/>
      <c r="D197" s="47"/>
    </row>
    <row r="198" spans="3:4" x14ac:dyDescent="0.2">
      <c r="C198" s="10"/>
      <c r="D198" s="47"/>
    </row>
    <row r="199" spans="3:4" x14ac:dyDescent="0.2">
      <c r="C199" s="10"/>
      <c r="D199" s="47"/>
    </row>
    <row r="200" spans="3:4" x14ac:dyDescent="0.2">
      <c r="C200" s="10"/>
      <c r="D200" s="47"/>
    </row>
    <row r="201" spans="3:4" x14ac:dyDescent="0.2">
      <c r="C201" s="10"/>
      <c r="D201" s="47"/>
    </row>
    <row r="202" spans="3:4" x14ac:dyDescent="0.2">
      <c r="C202" s="10"/>
      <c r="D202" s="47"/>
    </row>
    <row r="203" spans="3:4" x14ac:dyDescent="0.2">
      <c r="C203" s="10"/>
      <c r="D203" s="47"/>
    </row>
    <row r="204" spans="3:4" x14ac:dyDescent="0.2">
      <c r="C204" s="10"/>
      <c r="D204" s="47"/>
    </row>
    <row r="205" spans="3:4" x14ac:dyDescent="0.2">
      <c r="C205" s="10"/>
      <c r="D205" s="47"/>
    </row>
    <row r="206" spans="3:4" x14ac:dyDescent="0.2">
      <c r="C206" s="10"/>
      <c r="D206" s="47"/>
    </row>
    <row r="207" spans="3:4" x14ac:dyDescent="0.2">
      <c r="C207" s="10"/>
      <c r="D207" s="47"/>
    </row>
    <row r="208" spans="3:4" x14ac:dyDescent="0.2">
      <c r="C208" s="10"/>
      <c r="D208" s="47"/>
    </row>
    <row r="209" spans="3:4" x14ac:dyDescent="0.2">
      <c r="C209" s="10"/>
      <c r="D209" s="47"/>
    </row>
    <row r="210" spans="3:4" x14ac:dyDescent="0.2">
      <c r="C210" s="10"/>
      <c r="D210" s="47"/>
    </row>
    <row r="211" spans="3:4" x14ac:dyDescent="0.2">
      <c r="C211" s="10"/>
      <c r="D211" s="47"/>
    </row>
    <row r="212" spans="3:4" x14ac:dyDescent="0.2">
      <c r="C212" s="10"/>
      <c r="D212" s="47"/>
    </row>
    <row r="213" spans="3:4" x14ac:dyDescent="0.2">
      <c r="C213" s="10"/>
      <c r="D213" s="47"/>
    </row>
    <row r="214" spans="3:4" x14ac:dyDescent="0.2">
      <c r="C214" s="10"/>
      <c r="D214" s="47"/>
    </row>
    <row r="215" spans="3:4" x14ac:dyDescent="0.2">
      <c r="C215" s="10"/>
      <c r="D215" s="47"/>
    </row>
    <row r="216" spans="3:4" x14ac:dyDescent="0.2">
      <c r="C216" s="10"/>
      <c r="D216" s="47"/>
    </row>
    <row r="217" spans="3:4" x14ac:dyDescent="0.2">
      <c r="C217" s="10"/>
      <c r="D217" s="47"/>
    </row>
    <row r="218" spans="3:4" x14ac:dyDescent="0.2">
      <c r="C218" s="10"/>
      <c r="D218" s="47"/>
    </row>
    <row r="219" spans="3:4" x14ac:dyDescent="0.2">
      <c r="C219" s="10"/>
      <c r="D219" s="47"/>
    </row>
    <row r="220" spans="3:4" x14ac:dyDescent="0.2">
      <c r="C220" s="10"/>
      <c r="D220" s="47"/>
    </row>
    <row r="221" spans="3:4" x14ac:dyDescent="0.2">
      <c r="C221" s="10"/>
      <c r="D221" s="47"/>
    </row>
    <row r="222" spans="3:4" x14ac:dyDescent="0.2">
      <c r="C222" s="10"/>
      <c r="D222" s="47"/>
    </row>
    <row r="223" spans="3:4" x14ac:dyDescent="0.2">
      <c r="C223" s="10"/>
      <c r="D223" s="47"/>
    </row>
    <row r="224" spans="3:4" x14ac:dyDescent="0.2">
      <c r="C224" s="10"/>
      <c r="D224" s="47"/>
    </row>
    <row r="225" spans="3:4" x14ac:dyDescent="0.2">
      <c r="C225" s="10"/>
      <c r="D225" s="47"/>
    </row>
    <row r="226" spans="3:4" x14ac:dyDescent="0.2">
      <c r="C226" s="10"/>
      <c r="D226" s="47"/>
    </row>
    <row r="227" spans="3:4" x14ac:dyDescent="0.2">
      <c r="C227" s="10"/>
      <c r="D227" s="47"/>
    </row>
    <row r="228" spans="3:4" x14ac:dyDescent="0.2">
      <c r="C228" s="10"/>
      <c r="D228" s="47"/>
    </row>
    <row r="229" spans="3:4" x14ac:dyDescent="0.2">
      <c r="C229" s="10"/>
      <c r="D229" s="47"/>
    </row>
    <row r="230" spans="3:4" x14ac:dyDescent="0.2">
      <c r="C230" s="10"/>
      <c r="D230" s="47"/>
    </row>
    <row r="231" spans="3:4" x14ac:dyDescent="0.2">
      <c r="C231" s="10"/>
      <c r="D231" s="47"/>
    </row>
    <row r="232" spans="3:4" x14ac:dyDescent="0.2">
      <c r="C232" s="10"/>
      <c r="D232" s="47"/>
    </row>
    <row r="233" spans="3:4" x14ac:dyDescent="0.2">
      <c r="C233" s="10"/>
      <c r="D233" s="47"/>
    </row>
    <row r="234" spans="3:4" x14ac:dyDescent="0.2">
      <c r="C234" s="10"/>
      <c r="D234" s="47"/>
    </row>
    <row r="235" spans="3:4" x14ac:dyDescent="0.2">
      <c r="C235" s="10"/>
      <c r="D235" s="47"/>
    </row>
    <row r="236" spans="3:4" x14ac:dyDescent="0.2">
      <c r="C236" s="10"/>
      <c r="D236" s="47"/>
    </row>
    <row r="237" spans="3:4" x14ac:dyDescent="0.2">
      <c r="C237" s="10"/>
      <c r="D237" s="47"/>
    </row>
    <row r="238" spans="3:4" x14ac:dyDescent="0.2">
      <c r="C238" s="10"/>
      <c r="D238" s="47"/>
    </row>
    <row r="239" spans="3:4" x14ac:dyDescent="0.2">
      <c r="C239" s="10"/>
      <c r="D239" s="47"/>
    </row>
    <row r="240" spans="3:4" x14ac:dyDescent="0.2">
      <c r="C240" s="10"/>
      <c r="D240" s="47"/>
    </row>
    <row r="241" spans="3:4" x14ac:dyDescent="0.2">
      <c r="C241" s="10"/>
      <c r="D241" s="47"/>
    </row>
    <row r="242" spans="3:4" x14ac:dyDescent="0.2">
      <c r="C242" s="10"/>
      <c r="D242" s="47"/>
    </row>
    <row r="243" spans="3:4" x14ac:dyDescent="0.2">
      <c r="C243" s="10"/>
      <c r="D243" s="47"/>
    </row>
    <row r="244" spans="3:4" x14ac:dyDescent="0.2">
      <c r="C244" s="10"/>
      <c r="D244" s="47"/>
    </row>
    <row r="245" spans="3:4" x14ac:dyDescent="0.2">
      <c r="C245" s="10"/>
      <c r="D245" s="47"/>
    </row>
    <row r="246" spans="3:4" x14ac:dyDescent="0.2">
      <c r="C246" s="10"/>
      <c r="D246" s="47"/>
    </row>
    <row r="247" spans="3:4" x14ac:dyDescent="0.2">
      <c r="C247" s="10"/>
      <c r="D247" s="47"/>
    </row>
    <row r="248" spans="3:4" x14ac:dyDescent="0.2">
      <c r="C248" s="10"/>
      <c r="D248" s="47"/>
    </row>
    <row r="249" spans="3:4" x14ac:dyDescent="0.2">
      <c r="C249" s="10"/>
      <c r="D249" s="47"/>
    </row>
    <row r="250" spans="3:4" x14ac:dyDescent="0.2">
      <c r="C250" s="10"/>
      <c r="D250" s="47"/>
    </row>
    <row r="251" spans="3:4" x14ac:dyDescent="0.2">
      <c r="C251" s="10"/>
      <c r="D251" s="47"/>
    </row>
    <row r="252" spans="3:4" x14ac:dyDescent="0.2">
      <c r="C252" s="10"/>
      <c r="D252" s="47"/>
    </row>
    <row r="253" spans="3:4" x14ac:dyDescent="0.2">
      <c r="C253" s="10"/>
      <c r="D253" s="47"/>
    </row>
    <row r="254" spans="3:4" x14ac:dyDescent="0.2">
      <c r="C254" s="10"/>
      <c r="D254" s="47"/>
    </row>
    <row r="255" spans="3:4" x14ac:dyDescent="0.2">
      <c r="C255" s="10"/>
      <c r="D255" s="47"/>
    </row>
    <row r="256" spans="3:4" x14ac:dyDescent="0.2">
      <c r="C256" s="10"/>
      <c r="D256" s="47"/>
    </row>
    <row r="257" spans="3:4" x14ac:dyDescent="0.2">
      <c r="C257" s="10"/>
      <c r="D257" s="47"/>
    </row>
    <row r="258" spans="3:4" x14ac:dyDescent="0.2">
      <c r="C258" s="10"/>
      <c r="D258" s="47"/>
    </row>
    <row r="259" spans="3:4" x14ac:dyDescent="0.2">
      <c r="C259" s="10"/>
      <c r="D259" s="47"/>
    </row>
    <row r="260" spans="3:4" x14ac:dyDescent="0.2">
      <c r="C260" s="10"/>
      <c r="D260" s="47"/>
    </row>
    <row r="261" spans="3:4" x14ac:dyDescent="0.2">
      <c r="C261" s="10"/>
      <c r="D261" s="47"/>
    </row>
    <row r="262" spans="3:4" x14ac:dyDescent="0.2">
      <c r="C262" s="10"/>
      <c r="D262" s="47"/>
    </row>
    <row r="263" spans="3:4" x14ac:dyDescent="0.2">
      <c r="C263" s="10"/>
      <c r="D263" s="47"/>
    </row>
    <row r="264" spans="3:4" x14ac:dyDescent="0.2">
      <c r="C264" s="10"/>
      <c r="D264" s="47"/>
    </row>
    <row r="265" spans="3:4" x14ac:dyDescent="0.2">
      <c r="C265" s="10"/>
      <c r="D265" s="47"/>
    </row>
    <row r="266" spans="3:4" x14ac:dyDescent="0.2">
      <c r="C266" s="10"/>
      <c r="D266" s="47"/>
    </row>
    <row r="267" spans="3:4" x14ac:dyDescent="0.2">
      <c r="C267" s="10"/>
      <c r="D267" s="47"/>
    </row>
    <row r="268" spans="3:4" x14ac:dyDescent="0.2">
      <c r="C268" s="10"/>
      <c r="D268" s="47"/>
    </row>
    <row r="269" spans="3:4" x14ac:dyDescent="0.2">
      <c r="C269" s="10"/>
      <c r="D269" s="47"/>
    </row>
    <row r="270" spans="3:4" x14ac:dyDescent="0.2">
      <c r="C270" s="10"/>
      <c r="D270" s="47"/>
    </row>
    <row r="271" spans="3:4" x14ac:dyDescent="0.2">
      <c r="C271" s="10"/>
      <c r="D271" s="47"/>
    </row>
    <row r="272" spans="3:4" x14ac:dyDescent="0.2">
      <c r="C272" s="10"/>
      <c r="D272" s="47"/>
    </row>
    <row r="273" spans="3:4" x14ac:dyDescent="0.2">
      <c r="C273" s="10"/>
      <c r="D273" s="47"/>
    </row>
    <row r="274" spans="3:4" x14ac:dyDescent="0.2">
      <c r="C274" s="10"/>
      <c r="D274" s="47"/>
    </row>
    <row r="275" spans="3:4" x14ac:dyDescent="0.2">
      <c r="C275" s="10"/>
      <c r="D275" s="47"/>
    </row>
    <row r="276" spans="3:4" x14ac:dyDescent="0.2">
      <c r="C276" s="10"/>
      <c r="D276" s="47"/>
    </row>
    <row r="277" spans="3:4" x14ac:dyDescent="0.2">
      <c r="C277" s="10"/>
      <c r="D277" s="47"/>
    </row>
    <row r="278" spans="3:4" x14ac:dyDescent="0.2">
      <c r="C278" s="10"/>
      <c r="D278" s="47"/>
    </row>
    <row r="279" spans="3:4" x14ac:dyDescent="0.2">
      <c r="C279" s="10"/>
      <c r="D279" s="47"/>
    </row>
    <row r="280" spans="3:4" x14ac:dyDescent="0.2">
      <c r="C280" s="10"/>
      <c r="D280" s="47"/>
    </row>
    <row r="281" spans="3:4" x14ac:dyDescent="0.2">
      <c r="C281" s="10"/>
      <c r="D281" s="47"/>
    </row>
    <row r="282" spans="3:4" x14ac:dyDescent="0.2">
      <c r="C282" s="10"/>
      <c r="D282" s="47"/>
    </row>
    <row r="283" spans="3:4" x14ac:dyDescent="0.2">
      <c r="C283" s="10"/>
      <c r="D283" s="47"/>
    </row>
    <row r="284" spans="3:4" x14ac:dyDescent="0.2">
      <c r="C284" s="10"/>
      <c r="D284" s="47"/>
    </row>
    <row r="285" spans="3:4" x14ac:dyDescent="0.2">
      <c r="C285" s="10"/>
      <c r="D285" s="47"/>
    </row>
    <row r="286" spans="3:4" x14ac:dyDescent="0.2">
      <c r="C286" s="10"/>
      <c r="D286" s="47"/>
    </row>
    <row r="287" spans="3:4" x14ac:dyDescent="0.2">
      <c r="C287" s="10"/>
      <c r="D287" s="47"/>
    </row>
    <row r="288" spans="3:4" x14ac:dyDescent="0.2">
      <c r="C288" s="10"/>
      <c r="D288" s="47"/>
    </row>
    <row r="289" spans="3:4" x14ac:dyDescent="0.2">
      <c r="C289" s="10"/>
      <c r="D289" s="47"/>
    </row>
    <row r="290" spans="3:4" x14ac:dyDescent="0.2">
      <c r="C290" s="10"/>
      <c r="D290" s="47"/>
    </row>
    <row r="291" spans="3:4" x14ac:dyDescent="0.2">
      <c r="C291" s="10"/>
      <c r="D291" s="47"/>
    </row>
    <row r="292" spans="3:4" x14ac:dyDescent="0.2">
      <c r="C292" s="10"/>
      <c r="D292" s="47"/>
    </row>
    <row r="293" spans="3:4" x14ac:dyDescent="0.2">
      <c r="C293" s="10"/>
      <c r="D293" s="47"/>
    </row>
    <row r="294" spans="3:4" x14ac:dyDescent="0.2">
      <c r="C294" s="10"/>
      <c r="D294" s="47"/>
    </row>
    <row r="295" spans="3:4" x14ac:dyDescent="0.2">
      <c r="C295" s="10"/>
      <c r="D295" s="47"/>
    </row>
    <row r="296" spans="3:4" x14ac:dyDescent="0.2">
      <c r="C296" s="10"/>
      <c r="D296" s="47"/>
    </row>
    <row r="297" spans="3:4" x14ac:dyDescent="0.2">
      <c r="C297" s="10"/>
      <c r="D297" s="47"/>
    </row>
    <row r="298" spans="3:4" x14ac:dyDescent="0.2">
      <c r="C298" s="10"/>
      <c r="D298" s="47"/>
    </row>
    <row r="299" spans="3:4" x14ac:dyDescent="0.2">
      <c r="C299" s="10"/>
      <c r="D299" s="47"/>
    </row>
    <row r="300" spans="3:4" x14ac:dyDescent="0.2">
      <c r="C300" s="10"/>
      <c r="D300" s="47"/>
    </row>
    <row r="301" spans="3:4" x14ac:dyDescent="0.2">
      <c r="C301" s="10"/>
      <c r="D301" s="47"/>
    </row>
    <row r="302" spans="3:4" x14ac:dyDescent="0.2">
      <c r="C302" s="10"/>
      <c r="D302" s="47"/>
    </row>
    <row r="303" spans="3:4" x14ac:dyDescent="0.2">
      <c r="C303" s="10"/>
      <c r="D303" s="47"/>
    </row>
    <row r="304" spans="3:4" x14ac:dyDescent="0.2">
      <c r="C304" s="10"/>
      <c r="D304" s="47"/>
    </row>
    <row r="305" spans="3:4" x14ac:dyDescent="0.2">
      <c r="C305" s="10"/>
      <c r="D305" s="47"/>
    </row>
    <row r="306" spans="3:4" x14ac:dyDescent="0.2">
      <c r="C306" s="10"/>
      <c r="D306" s="47"/>
    </row>
    <row r="307" spans="3:4" x14ac:dyDescent="0.2">
      <c r="C307" s="10"/>
      <c r="D307" s="47"/>
    </row>
    <row r="308" spans="3:4" x14ac:dyDescent="0.2">
      <c r="C308" s="10"/>
      <c r="D308" s="47"/>
    </row>
    <row r="309" spans="3:4" x14ac:dyDescent="0.2">
      <c r="C309" s="10"/>
      <c r="D309" s="47"/>
    </row>
    <row r="310" spans="3:4" x14ac:dyDescent="0.2">
      <c r="C310" s="10"/>
      <c r="D310" s="47"/>
    </row>
    <row r="311" spans="3:4" x14ac:dyDescent="0.2">
      <c r="C311" s="10"/>
      <c r="D311" s="47"/>
    </row>
    <row r="312" spans="3:4" x14ac:dyDescent="0.2">
      <c r="C312" s="10"/>
      <c r="D312" s="47"/>
    </row>
    <row r="313" spans="3:4" x14ac:dyDescent="0.2">
      <c r="C313" s="10"/>
      <c r="D313" s="47"/>
    </row>
    <row r="314" spans="3:4" x14ac:dyDescent="0.2">
      <c r="C314" s="10"/>
      <c r="D314" s="47"/>
    </row>
    <row r="315" spans="3:4" x14ac:dyDescent="0.2">
      <c r="C315" s="10"/>
      <c r="D315" s="47"/>
    </row>
    <row r="316" spans="3:4" x14ac:dyDescent="0.2">
      <c r="C316" s="10"/>
      <c r="D316" s="47"/>
    </row>
    <row r="317" spans="3:4" x14ac:dyDescent="0.2">
      <c r="C317" s="10"/>
      <c r="D317" s="47"/>
    </row>
    <row r="318" spans="3:4" x14ac:dyDescent="0.2">
      <c r="C318" s="10"/>
      <c r="D318" s="47"/>
    </row>
    <row r="319" spans="3:4" x14ac:dyDescent="0.2">
      <c r="C319" s="10"/>
      <c r="D319" s="47"/>
    </row>
    <row r="320" spans="3:4" x14ac:dyDescent="0.2">
      <c r="C320" s="10"/>
      <c r="D320" s="47"/>
    </row>
    <row r="321" spans="3:4" x14ac:dyDescent="0.2">
      <c r="C321" s="10"/>
      <c r="D321" s="47"/>
    </row>
    <row r="322" spans="3:4" x14ac:dyDescent="0.2">
      <c r="C322" s="10"/>
      <c r="D322" s="47"/>
    </row>
    <row r="323" spans="3:4" x14ac:dyDescent="0.2">
      <c r="C323" s="10"/>
      <c r="D323" s="47"/>
    </row>
    <row r="324" spans="3:4" x14ac:dyDescent="0.2">
      <c r="C324" s="10"/>
      <c r="D324" s="47"/>
    </row>
    <row r="325" spans="3:4" x14ac:dyDescent="0.2">
      <c r="C325" s="10"/>
      <c r="D325" s="47"/>
    </row>
    <row r="326" spans="3:4" x14ac:dyDescent="0.2">
      <c r="C326" s="10"/>
      <c r="D326" s="47"/>
    </row>
    <row r="327" spans="3:4" x14ac:dyDescent="0.2">
      <c r="C327" s="10"/>
      <c r="D327" s="47"/>
    </row>
    <row r="328" spans="3:4" x14ac:dyDescent="0.2">
      <c r="C328" s="10"/>
      <c r="D328" s="47"/>
    </row>
    <row r="329" spans="3:4" x14ac:dyDescent="0.2">
      <c r="C329" s="10"/>
      <c r="D329" s="47"/>
    </row>
    <row r="330" spans="3:4" x14ac:dyDescent="0.2">
      <c r="C330" s="10"/>
      <c r="D330" s="47"/>
    </row>
    <row r="331" spans="3:4" x14ac:dyDescent="0.2">
      <c r="C331" s="10"/>
      <c r="D331" s="47"/>
    </row>
    <row r="332" spans="3:4" x14ac:dyDescent="0.2">
      <c r="C332" s="10"/>
      <c r="D332" s="47"/>
    </row>
    <row r="333" spans="3:4" x14ac:dyDescent="0.2">
      <c r="C333" s="10"/>
      <c r="D333" s="47"/>
    </row>
    <row r="334" spans="3:4" x14ac:dyDescent="0.2">
      <c r="C334" s="10"/>
      <c r="D334" s="47"/>
    </row>
    <row r="335" spans="3:4" x14ac:dyDescent="0.2">
      <c r="C335" s="10"/>
      <c r="D335" s="47"/>
    </row>
    <row r="336" spans="3:4" x14ac:dyDescent="0.2">
      <c r="C336" s="10"/>
      <c r="D336" s="47"/>
    </row>
    <row r="337" spans="3:4" x14ac:dyDescent="0.2">
      <c r="C337" s="10"/>
      <c r="D337" s="47"/>
    </row>
    <row r="338" spans="3:4" x14ac:dyDescent="0.2">
      <c r="C338" s="10"/>
      <c r="D338" s="47"/>
    </row>
    <row r="339" spans="3:4" x14ac:dyDescent="0.2">
      <c r="C339" s="10"/>
      <c r="D339" s="47"/>
    </row>
    <row r="340" spans="3:4" x14ac:dyDescent="0.2">
      <c r="C340" s="10"/>
      <c r="D340" s="47"/>
    </row>
    <row r="341" spans="3:4" x14ac:dyDescent="0.2">
      <c r="C341" s="10"/>
      <c r="D341" s="47"/>
    </row>
    <row r="342" spans="3:4" x14ac:dyDescent="0.2">
      <c r="C342" s="10"/>
      <c r="D342" s="47"/>
    </row>
    <row r="343" spans="3:4" x14ac:dyDescent="0.2">
      <c r="C343" s="10"/>
      <c r="D343" s="47"/>
    </row>
    <row r="344" spans="3:4" x14ac:dyDescent="0.2">
      <c r="C344" s="10"/>
      <c r="D344" s="47"/>
    </row>
    <row r="345" spans="3:4" x14ac:dyDescent="0.2">
      <c r="C345" s="10"/>
      <c r="D345" s="47"/>
    </row>
    <row r="346" spans="3:4" x14ac:dyDescent="0.2">
      <c r="C346" s="10"/>
      <c r="D346" s="47"/>
    </row>
    <row r="347" spans="3:4" x14ac:dyDescent="0.2">
      <c r="C347" s="10"/>
      <c r="D347" s="47"/>
    </row>
    <row r="348" spans="3:4" x14ac:dyDescent="0.2">
      <c r="C348" s="10"/>
      <c r="D348" s="47"/>
    </row>
    <row r="349" spans="3:4" x14ac:dyDescent="0.2">
      <c r="C349" s="10"/>
      <c r="D349" s="47"/>
    </row>
    <row r="350" spans="3:4" x14ac:dyDescent="0.2">
      <c r="C350" s="10"/>
      <c r="D350" s="47"/>
    </row>
    <row r="351" spans="3:4" x14ac:dyDescent="0.2">
      <c r="C351" s="10"/>
      <c r="D351" s="47"/>
    </row>
    <row r="352" spans="3:4" x14ac:dyDescent="0.2">
      <c r="C352" s="10"/>
      <c r="D352" s="47"/>
    </row>
    <row r="353" spans="3:4" x14ac:dyDescent="0.2">
      <c r="C353" s="10"/>
      <c r="D353" s="47"/>
    </row>
    <row r="354" spans="3:4" x14ac:dyDescent="0.2">
      <c r="C354" s="10"/>
      <c r="D354" s="47"/>
    </row>
    <row r="355" spans="3:4" x14ac:dyDescent="0.2">
      <c r="C355" s="10"/>
      <c r="D355" s="47"/>
    </row>
    <row r="356" spans="3:4" x14ac:dyDescent="0.2">
      <c r="C356" s="10"/>
      <c r="D356" s="47"/>
    </row>
    <row r="357" spans="3:4" x14ac:dyDescent="0.2">
      <c r="C357" s="10"/>
      <c r="D357" s="47"/>
    </row>
    <row r="358" spans="3:4" x14ac:dyDescent="0.2">
      <c r="C358" s="10"/>
      <c r="D358" s="47"/>
    </row>
    <row r="359" spans="3:4" x14ac:dyDescent="0.2">
      <c r="C359" s="10"/>
      <c r="D359" s="47"/>
    </row>
    <row r="360" spans="3:4" x14ac:dyDescent="0.2">
      <c r="C360" s="10"/>
      <c r="D360" s="47"/>
    </row>
    <row r="361" spans="3:4" x14ac:dyDescent="0.2">
      <c r="C361" s="10"/>
      <c r="D361" s="47"/>
    </row>
    <row r="362" spans="3:4" x14ac:dyDescent="0.2">
      <c r="C362" s="10"/>
      <c r="D362" s="47"/>
    </row>
    <row r="363" spans="3:4" x14ac:dyDescent="0.2">
      <c r="C363" s="10"/>
      <c r="D363" s="47"/>
    </row>
    <row r="364" spans="3:4" x14ac:dyDescent="0.2">
      <c r="C364" s="10"/>
      <c r="D364" s="47"/>
    </row>
    <row r="365" spans="3:4" x14ac:dyDescent="0.2">
      <c r="C365" s="10"/>
      <c r="D365" s="47"/>
    </row>
    <row r="366" spans="3:4" x14ac:dyDescent="0.2">
      <c r="C366" s="10"/>
      <c r="D366" s="47"/>
    </row>
    <row r="367" spans="3:4" x14ac:dyDescent="0.2">
      <c r="C367" s="10"/>
      <c r="D367" s="47"/>
    </row>
    <row r="368" spans="3:4" x14ac:dyDescent="0.2">
      <c r="C368" s="10"/>
      <c r="D368" s="47"/>
    </row>
    <row r="369" spans="3:4" x14ac:dyDescent="0.2">
      <c r="C369" s="10"/>
      <c r="D369" s="47"/>
    </row>
    <row r="370" spans="3:4" x14ac:dyDescent="0.2">
      <c r="C370" s="10"/>
      <c r="D370" s="47"/>
    </row>
    <row r="371" spans="3:4" x14ac:dyDescent="0.2">
      <c r="C371" s="10"/>
      <c r="D371" s="47"/>
    </row>
    <row r="372" spans="3:4" x14ac:dyDescent="0.2">
      <c r="C372" s="10"/>
      <c r="D372" s="47"/>
    </row>
    <row r="373" spans="3:4" x14ac:dyDescent="0.2">
      <c r="C373" s="10"/>
      <c r="D373" s="47"/>
    </row>
    <row r="374" spans="3:4" x14ac:dyDescent="0.2">
      <c r="C374" s="10"/>
      <c r="D374" s="47"/>
    </row>
    <row r="375" spans="3:4" x14ac:dyDescent="0.2">
      <c r="C375" s="10"/>
      <c r="D375" s="47"/>
    </row>
    <row r="376" spans="3:4" x14ac:dyDescent="0.2">
      <c r="C376" s="10"/>
      <c r="D376" s="47"/>
    </row>
    <row r="377" spans="3:4" x14ac:dyDescent="0.2">
      <c r="C377" s="10"/>
      <c r="D377" s="47"/>
    </row>
    <row r="378" spans="3:4" x14ac:dyDescent="0.2">
      <c r="C378" s="10"/>
      <c r="D378" s="47"/>
    </row>
    <row r="379" spans="3:4" x14ac:dyDescent="0.2">
      <c r="C379" s="10"/>
      <c r="D379" s="47"/>
    </row>
    <row r="380" spans="3:4" x14ac:dyDescent="0.2">
      <c r="C380" s="10"/>
      <c r="D380" s="47"/>
    </row>
    <row r="381" spans="3:4" x14ac:dyDescent="0.2">
      <c r="C381" s="10"/>
      <c r="D381" s="47"/>
    </row>
    <row r="382" spans="3:4" x14ac:dyDescent="0.2">
      <c r="C382" s="10"/>
      <c r="D382" s="47"/>
    </row>
    <row r="383" spans="3:4" x14ac:dyDescent="0.2">
      <c r="C383" s="10"/>
      <c r="D383" s="47"/>
    </row>
    <row r="384" spans="3:4" x14ac:dyDescent="0.2">
      <c r="C384" s="10"/>
      <c r="D384" s="47"/>
    </row>
    <row r="385" spans="3:4" x14ac:dyDescent="0.2">
      <c r="C385" s="10"/>
      <c r="D385" s="47"/>
    </row>
    <row r="386" spans="3:4" x14ac:dyDescent="0.2">
      <c r="C386" s="10"/>
      <c r="D386" s="47"/>
    </row>
    <row r="387" spans="3:4" x14ac:dyDescent="0.2">
      <c r="C387" s="10"/>
      <c r="D387" s="47"/>
    </row>
    <row r="388" spans="3:4" x14ac:dyDescent="0.2">
      <c r="C388" s="10"/>
      <c r="D388" s="47"/>
    </row>
    <row r="389" spans="3:4" x14ac:dyDescent="0.2">
      <c r="C389" s="10"/>
      <c r="D389" s="47"/>
    </row>
    <row r="390" spans="3:4" x14ac:dyDescent="0.2">
      <c r="C390" s="10"/>
      <c r="D390" s="47"/>
    </row>
    <row r="391" spans="3:4" x14ac:dyDescent="0.2">
      <c r="C391" s="10"/>
      <c r="D391" s="47"/>
    </row>
    <row r="392" spans="3:4" x14ac:dyDescent="0.2">
      <c r="C392" s="10"/>
      <c r="D392" s="47"/>
    </row>
    <row r="393" spans="3:4" x14ac:dyDescent="0.2">
      <c r="C393" s="10"/>
      <c r="D393" s="47"/>
    </row>
    <row r="394" spans="3:4" x14ac:dyDescent="0.2">
      <c r="C394" s="10"/>
      <c r="D394" s="47"/>
    </row>
    <row r="395" spans="3:4" x14ac:dyDescent="0.2">
      <c r="C395" s="10"/>
      <c r="D395" s="47"/>
    </row>
    <row r="396" spans="3:4" x14ac:dyDescent="0.2">
      <c r="C396" s="10"/>
      <c r="D396" s="47"/>
    </row>
    <row r="397" spans="3:4" x14ac:dyDescent="0.2">
      <c r="C397" s="10"/>
      <c r="D397" s="47"/>
    </row>
    <row r="398" spans="3:4" x14ac:dyDescent="0.2">
      <c r="C398" s="10"/>
      <c r="D398" s="47"/>
    </row>
    <row r="399" spans="3:4" x14ac:dyDescent="0.2">
      <c r="C399" s="10"/>
      <c r="D399" s="47"/>
    </row>
    <row r="400" spans="3:4" x14ac:dyDescent="0.2">
      <c r="C400" s="10"/>
      <c r="D400" s="47"/>
    </row>
    <row r="401" spans="3:4" x14ac:dyDescent="0.2">
      <c r="C401" s="10"/>
      <c r="D401" s="47"/>
    </row>
    <row r="402" spans="3:4" x14ac:dyDescent="0.2">
      <c r="C402" s="10"/>
      <c r="D402" s="47"/>
    </row>
    <row r="403" spans="3:4" x14ac:dyDescent="0.2">
      <c r="C403" s="10"/>
      <c r="D403" s="47"/>
    </row>
    <row r="404" spans="3:4" x14ac:dyDescent="0.2">
      <c r="C404" s="10"/>
      <c r="D404" s="47"/>
    </row>
    <row r="405" spans="3:4" x14ac:dyDescent="0.2">
      <c r="C405" s="10"/>
      <c r="D405" s="47"/>
    </row>
    <row r="406" spans="3:4" x14ac:dyDescent="0.2">
      <c r="C406" s="10"/>
      <c r="D406" s="47"/>
    </row>
    <row r="407" spans="3:4" x14ac:dyDescent="0.2">
      <c r="C407" s="10"/>
      <c r="D407" s="47"/>
    </row>
    <row r="408" spans="3:4" x14ac:dyDescent="0.2">
      <c r="C408" s="10"/>
      <c r="D408" s="47"/>
    </row>
    <row r="409" spans="3:4" x14ac:dyDescent="0.2">
      <c r="C409" s="10"/>
      <c r="D409" s="47"/>
    </row>
    <row r="410" spans="3:4" x14ac:dyDescent="0.2">
      <c r="C410" s="10"/>
      <c r="D410" s="47"/>
    </row>
    <row r="411" spans="3:4" x14ac:dyDescent="0.2">
      <c r="C411" s="10"/>
      <c r="D411" s="47"/>
    </row>
    <row r="412" spans="3:4" x14ac:dyDescent="0.2">
      <c r="C412" s="10"/>
      <c r="D412" s="47"/>
    </row>
    <row r="413" spans="3:4" x14ac:dyDescent="0.2">
      <c r="C413" s="10"/>
      <c r="D413" s="47"/>
    </row>
    <row r="414" spans="3:4" x14ac:dyDescent="0.2">
      <c r="C414" s="10"/>
      <c r="D414" s="47"/>
    </row>
    <row r="415" spans="3:4" x14ac:dyDescent="0.2">
      <c r="C415" s="10"/>
      <c r="D415" s="47"/>
    </row>
    <row r="416" spans="3:4" x14ac:dyDescent="0.2">
      <c r="C416" s="10"/>
      <c r="D416" s="47"/>
    </row>
    <row r="417" spans="3:4" x14ac:dyDescent="0.2">
      <c r="C417" s="10"/>
      <c r="D417" s="47"/>
    </row>
    <row r="418" spans="3:4" x14ac:dyDescent="0.2">
      <c r="C418" s="10"/>
      <c r="D418" s="47"/>
    </row>
    <row r="419" spans="3:4" x14ac:dyDescent="0.2">
      <c r="C419" s="10"/>
      <c r="D419" s="47"/>
    </row>
    <row r="420" spans="3:4" x14ac:dyDescent="0.2">
      <c r="C420" s="10"/>
      <c r="D420" s="47"/>
    </row>
    <row r="421" spans="3:4" x14ac:dyDescent="0.2">
      <c r="C421" s="10"/>
      <c r="D421" s="47"/>
    </row>
    <row r="422" spans="3:4" x14ac:dyDescent="0.2">
      <c r="C422" s="10"/>
      <c r="D422" s="47"/>
    </row>
    <row r="423" spans="3:4" x14ac:dyDescent="0.2">
      <c r="C423" s="10"/>
      <c r="D423" s="47"/>
    </row>
    <row r="424" spans="3:4" x14ac:dyDescent="0.2">
      <c r="C424" s="10"/>
      <c r="D424" s="47"/>
    </row>
  </sheetData>
  <mergeCells count="1">
    <mergeCell ref="A1:D1"/>
  </mergeCells>
  <phoneticPr fontId="0" type="noConversion"/>
  <pageMargins left="0.75" right="0.75" top="1" bottom="1" header="0.5" footer="0.5"/>
  <pageSetup scale="9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L69"/>
  <sheetViews>
    <sheetView workbookViewId="0">
      <selection activeCell="B3" sqref="B3:J3"/>
    </sheetView>
  </sheetViews>
  <sheetFormatPr defaultRowHeight="12.75" x14ac:dyDescent="0.2"/>
  <cols>
    <col min="2" max="2" width="25.85546875" customWidth="1"/>
    <col min="3" max="3" width="3.7109375" customWidth="1"/>
    <col min="4" max="4" width="11.85546875" customWidth="1"/>
    <col min="5" max="5" width="3.7109375" customWidth="1"/>
    <col min="6" max="6" width="11.42578125" customWidth="1"/>
    <col min="7" max="7" width="3.5703125" customWidth="1"/>
    <col min="8" max="8" width="11.5703125" customWidth="1"/>
    <col min="9" max="9" width="3.7109375" customWidth="1"/>
    <col min="10" max="10" width="11.7109375" customWidth="1"/>
  </cols>
  <sheetData>
    <row r="2" spans="2:64" ht="18" x14ac:dyDescent="0.25">
      <c r="B2" s="70" t="s">
        <v>173</v>
      </c>
      <c r="C2" s="70"/>
      <c r="D2" s="70"/>
      <c r="E2" s="70"/>
      <c r="F2" s="70"/>
      <c r="G2" s="70"/>
      <c r="H2" s="70"/>
      <c r="I2" s="71"/>
      <c r="J2" s="71"/>
    </row>
    <row r="3" spans="2:64" ht="18" x14ac:dyDescent="0.25">
      <c r="B3" s="72" t="s">
        <v>139</v>
      </c>
      <c r="C3" s="72"/>
      <c r="D3" s="72"/>
      <c r="E3" s="72"/>
      <c r="F3" s="72"/>
      <c r="G3" s="72"/>
      <c r="H3" s="72"/>
      <c r="I3" s="71"/>
      <c r="J3" s="71"/>
    </row>
    <row r="6" spans="2:64" ht="31.5" x14ac:dyDescent="0.25">
      <c r="D6" s="53" t="s">
        <v>174</v>
      </c>
      <c r="E6" s="53"/>
      <c r="F6" s="53" t="s">
        <v>175</v>
      </c>
      <c r="G6" s="48"/>
      <c r="H6" s="48" t="s">
        <v>220</v>
      </c>
      <c r="J6" s="48" t="s">
        <v>205</v>
      </c>
    </row>
    <row r="8" spans="2:64" x14ac:dyDescent="0.2">
      <c r="B8" s="26" t="s">
        <v>15</v>
      </c>
    </row>
    <row r="9" spans="2:64" x14ac:dyDescent="0.2">
      <c r="B9" s="26"/>
      <c r="D9" s="65"/>
      <c r="E9" s="65"/>
      <c r="F9" s="65"/>
    </row>
    <row r="10" spans="2:64" x14ac:dyDescent="0.2">
      <c r="B10" s="26" t="s">
        <v>176</v>
      </c>
      <c r="D10" s="49">
        <f>'P&amp;L YTD'!B17</f>
        <v>56783.6</v>
      </c>
      <c r="E10" s="49"/>
      <c r="F10" s="49">
        <f>'P&amp;L YTD'!C17</f>
        <v>58800</v>
      </c>
      <c r="G10" s="49"/>
      <c r="H10" s="49">
        <v>62191</v>
      </c>
      <c r="I10" s="49"/>
      <c r="J10" s="49">
        <v>54173.77</v>
      </c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2:64" x14ac:dyDescent="0.2">
      <c r="B11" s="26"/>
      <c r="D11" s="49"/>
      <c r="E11" s="49"/>
      <c r="F11" s="49"/>
      <c r="G11" s="49"/>
      <c r="H11" s="49"/>
      <c r="I11" s="49"/>
      <c r="J11" s="49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2:64" x14ac:dyDescent="0.2">
      <c r="B12" s="26" t="s">
        <v>177</v>
      </c>
      <c r="D12" s="49">
        <f>'P&amp;L YTD'!B12+'P&amp;L YTD'!B13+'P&amp;L YTD'!B14</f>
        <v>692.2</v>
      </c>
      <c r="E12" s="49"/>
      <c r="F12" s="49">
        <f>'P&amp;L YTD'!C14</f>
        <v>800</v>
      </c>
      <c r="G12" s="49"/>
      <c r="H12" s="49">
        <v>1466.5</v>
      </c>
      <c r="I12" s="49"/>
      <c r="J12" s="49">
        <v>2771.4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</row>
    <row r="13" spans="2:64" x14ac:dyDescent="0.2">
      <c r="B13" s="26"/>
      <c r="D13" s="49"/>
      <c r="E13" s="49"/>
      <c r="F13" s="49"/>
      <c r="G13" s="49"/>
      <c r="H13" s="49"/>
      <c r="I13" s="49"/>
      <c r="J13" s="49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</row>
    <row r="14" spans="2:64" x14ac:dyDescent="0.2">
      <c r="B14" s="26" t="s">
        <v>178</v>
      </c>
      <c r="D14" s="49">
        <f>'P&amp;L YTD'!B25-'P&amp;L YTD'!B79</f>
        <v>504.15999999999985</v>
      </c>
      <c r="E14" s="49"/>
      <c r="F14" s="49">
        <f>'P&amp;L YTD'!C25-'P&amp;L YTD'!C79</f>
        <v>500</v>
      </c>
      <c r="G14" s="49"/>
      <c r="H14" s="49">
        <f>4307.69-3819.8</f>
        <v>487.88999999999942</v>
      </c>
      <c r="I14" s="49"/>
      <c r="J14" s="49">
        <f>5395.33-4179.43</f>
        <v>1215.8999999999996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2:64" x14ac:dyDescent="0.2">
      <c r="B15" s="26"/>
      <c r="D15" s="49"/>
      <c r="E15" s="49"/>
      <c r="F15" s="49"/>
      <c r="G15" s="49"/>
      <c r="H15" s="49"/>
      <c r="I15" s="49"/>
      <c r="J15" s="49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2:64" x14ac:dyDescent="0.2">
      <c r="B16" s="26" t="s">
        <v>29</v>
      </c>
      <c r="D16" s="49">
        <f>'P&amp;L YTD'!B29</f>
        <v>117.25</v>
      </c>
      <c r="E16" s="49"/>
      <c r="F16" s="49">
        <f>'P&amp;L YTD'!C29</f>
        <v>100</v>
      </c>
      <c r="G16" s="49"/>
      <c r="H16" s="49">
        <v>105.69</v>
      </c>
      <c r="I16" s="49"/>
      <c r="J16" s="49">
        <v>165.61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2:64" x14ac:dyDescent="0.2">
      <c r="B17" s="26"/>
      <c r="D17" s="49"/>
      <c r="E17" s="49"/>
      <c r="F17" s="49"/>
      <c r="G17" s="49"/>
      <c r="H17" s="49"/>
      <c r="I17" s="49"/>
      <c r="J17" s="49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2:64" x14ac:dyDescent="0.2">
      <c r="B18" s="26" t="s">
        <v>179</v>
      </c>
      <c r="D18" s="49">
        <f>'P&amp;L YTD'!B7+'P&amp;L YTD'!B9+'P&amp;L YTD'!B11+'P&amp;L YTD'!B30+'P&amp;L YTD'!B33</f>
        <v>9439.64</v>
      </c>
      <c r="E18" s="49"/>
      <c r="F18" s="49">
        <f>+'P&amp;L YTD'!C7+'P&amp;L YTD'!C9+'P&amp;L YTD'!C11+'P&amp;L YTD'!C30+'P&amp;L YTD'!C33</f>
        <v>8400.94</v>
      </c>
      <c r="G18" s="49"/>
      <c r="H18" s="49">
        <f>370+4.5+25+2465.95+1492.6+3500+9.8</f>
        <v>7867.8499999999995</v>
      </c>
      <c r="I18" s="49"/>
      <c r="J18" s="49">
        <f>195+31.5+75+342.65+725+303+5337.5</f>
        <v>7009.65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2:64" x14ac:dyDescent="0.2">
      <c r="B19" s="26"/>
      <c r="D19" s="49"/>
      <c r="E19" s="49"/>
      <c r="F19" s="49"/>
      <c r="G19" s="49"/>
      <c r="H19" s="49"/>
      <c r="I19" s="49"/>
      <c r="J19" s="49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2:64" x14ac:dyDescent="0.2">
      <c r="B20" s="26" t="s">
        <v>196</v>
      </c>
      <c r="D20" s="49">
        <f>1080-795</f>
        <v>285</v>
      </c>
      <c r="E20" s="49"/>
      <c r="F20" s="49">
        <v>0</v>
      </c>
      <c r="G20" s="49"/>
      <c r="H20" s="67">
        <f>7475-7432</f>
        <v>43</v>
      </c>
      <c r="I20" s="49"/>
      <c r="J20" s="67">
        <f>4052-2362</f>
        <v>1690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2:64" x14ac:dyDescent="0.2">
      <c r="B21" s="26"/>
      <c r="D21" s="49"/>
      <c r="E21" s="49"/>
      <c r="F21" s="49"/>
      <c r="G21" s="49"/>
      <c r="H21" s="49"/>
      <c r="I21" s="49"/>
      <c r="J21" s="49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2:64" x14ac:dyDescent="0.2">
      <c r="B22" s="26" t="s">
        <v>180</v>
      </c>
      <c r="D22" s="50">
        <f>SUM(D10:D20)</f>
        <v>67821.849999999991</v>
      </c>
      <c r="E22" s="50"/>
      <c r="F22" s="50">
        <f>SUM(F10:F20)</f>
        <v>68600.94</v>
      </c>
      <c r="G22" s="50"/>
      <c r="H22" s="50">
        <f>SUM(H10:H20)</f>
        <v>72161.930000000008</v>
      </c>
      <c r="I22" s="50"/>
      <c r="J22" s="50">
        <f>SUM(J10:J20)</f>
        <v>67026.33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2:64" x14ac:dyDescent="0.2">
      <c r="B23" s="26"/>
      <c r="D23" s="49"/>
      <c r="E23" s="49"/>
      <c r="F23" s="49"/>
      <c r="G23" s="49"/>
      <c r="H23" s="49"/>
      <c r="I23" s="49"/>
      <c r="J23" s="49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2:64" x14ac:dyDescent="0.2">
      <c r="B24" s="26"/>
      <c r="D24" s="49"/>
      <c r="E24" s="49"/>
      <c r="F24" s="49"/>
      <c r="G24" s="49"/>
      <c r="H24" s="49"/>
      <c r="I24" s="49"/>
      <c r="J24" s="49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2:64" x14ac:dyDescent="0.2">
      <c r="B25" s="26" t="s">
        <v>181</v>
      </c>
      <c r="D25" s="49"/>
      <c r="E25" s="49"/>
      <c r="F25" s="49"/>
      <c r="G25" s="49"/>
      <c r="H25" s="49"/>
      <c r="I25" s="49"/>
      <c r="J25" s="49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2:64" x14ac:dyDescent="0.2">
      <c r="B26" s="26"/>
      <c r="D26" s="49"/>
      <c r="E26" s="49"/>
      <c r="F26" s="49"/>
      <c r="G26" s="49"/>
      <c r="H26" s="49"/>
      <c r="I26" s="49"/>
      <c r="J26" s="49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2:64" x14ac:dyDescent="0.2">
      <c r="B27" s="26" t="s">
        <v>182</v>
      </c>
      <c r="D27" s="49">
        <f>40203.85+10128.66</f>
        <v>50332.509999999995</v>
      </c>
      <c r="E27" s="49"/>
      <c r="F27" s="49">
        <f>42559+10848</f>
        <v>53407</v>
      </c>
      <c r="G27" s="49"/>
      <c r="H27" s="49">
        <f>39176.87+9960.63</f>
        <v>49137.5</v>
      </c>
      <c r="I27" s="49"/>
      <c r="J27" s="49">
        <f>27177.32+8331.43</f>
        <v>35508.75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8" spans="2:64" x14ac:dyDescent="0.2">
      <c r="B28" s="26"/>
      <c r="D28" s="49"/>
      <c r="E28" s="49"/>
      <c r="F28" s="49"/>
      <c r="G28" s="49"/>
      <c r="H28" s="49"/>
      <c r="I28" s="49"/>
      <c r="J28" s="4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2:64" x14ac:dyDescent="0.2">
      <c r="B29" s="26" t="s">
        <v>183</v>
      </c>
      <c r="D29" s="49">
        <f>19789.19+7912.3-1937.25</f>
        <v>25764.239999999998</v>
      </c>
      <c r="E29" s="49"/>
      <c r="F29" s="49">
        <f>13460+9078-4000</f>
        <v>18538</v>
      </c>
      <c r="G29" s="49"/>
      <c r="H29" s="49">
        <f>12430.37+9515.78-3819.8</f>
        <v>18126.350000000002</v>
      </c>
      <c r="I29" s="49"/>
      <c r="J29" s="49">
        <f>13488.17+7882.3-4179.43</f>
        <v>17191.04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2:64" x14ac:dyDescent="0.2">
      <c r="B30" s="26"/>
      <c r="D30" s="49"/>
      <c r="E30" s="49"/>
      <c r="F30" s="49"/>
      <c r="G30" s="49"/>
      <c r="H30" s="49"/>
      <c r="I30" s="49"/>
      <c r="J30" s="49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2:64" x14ac:dyDescent="0.2">
      <c r="B31" s="26" t="s">
        <v>184</v>
      </c>
      <c r="D31" s="49">
        <v>7333.4</v>
      </c>
      <c r="E31" s="49"/>
      <c r="F31" s="49">
        <v>7333.33</v>
      </c>
      <c r="G31" s="49"/>
      <c r="H31" s="49">
        <v>6666</v>
      </c>
      <c r="I31" s="49"/>
      <c r="J31" s="49">
        <v>7000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2" spans="2:64" x14ac:dyDescent="0.2">
      <c r="B32" s="26"/>
      <c r="D32" s="49"/>
      <c r="E32" s="49"/>
      <c r="F32" s="49"/>
      <c r="G32" s="49"/>
      <c r="H32" s="49"/>
      <c r="I32" s="49"/>
      <c r="J32" s="49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2:64" x14ac:dyDescent="0.2">
      <c r="B33" s="26" t="s">
        <v>185</v>
      </c>
      <c r="D33" s="49">
        <v>4147.6400000000003</v>
      </c>
      <c r="E33" s="49"/>
      <c r="F33" s="49">
        <v>2600</v>
      </c>
      <c r="G33" s="49"/>
      <c r="H33" s="49">
        <f>64.8+4677.82</f>
        <v>4742.62</v>
      </c>
      <c r="I33" s="49"/>
      <c r="J33" s="49">
        <f>86.4+1685.56</f>
        <v>1771.96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</row>
    <row r="34" spans="2:64" x14ac:dyDescent="0.2">
      <c r="B34" s="26"/>
      <c r="D34" s="49"/>
      <c r="E34" s="49"/>
      <c r="F34" s="49"/>
      <c r="G34" s="49"/>
      <c r="H34" s="49"/>
      <c r="I34" s="49"/>
      <c r="J34" s="49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2:64" x14ac:dyDescent="0.2">
      <c r="B35" s="26" t="s">
        <v>180</v>
      </c>
      <c r="D35" s="50">
        <f>SUM(D27:D33)</f>
        <v>87577.79</v>
      </c>
      <c r="E35" s="50"/>
      <c r="F35" s="50">
        <f>SUM(F27:F33)</f>
        <v>81878.33</v>
      </c>
      <c r="G35" s="50"/>
      <c r="H35" s="50">
        <f>SUM(H27:H33)</f>
        <v>78672.47</v>
      </c>
      <c r="I35" s="49"/>
      <c r="J35" s="50">
        <f>SUM(J27:J33)</f>
        <v>61471.75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2:64" x14ac:dyDescent="0.2">
      <c r="D36" s="49"/>
      <c r="E36" s="49"/>
      <c r="F36" s="49"/>
      <c r="G36" s="49"/>
      <c r="H36" s="49"/>
      <c r="I36" s="49"/>
      <c r="J36" s="49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</row>
    <row r="37" spans="2:64" x14ac:dyDescent="0.2">
      <c r="D37" s="49"/>
      <c r="E37" s="49"/>
      <c r="F37" s="49"/>
      <c r="G37" s="49"/>
      <c r="H37" s="49"/>
      <c r="I37" s="49"/>
      <c r="J37" s="49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2:64" x14ac:dyDescent="0.2">
      <c r="B38" s="26" t="s">
        <v>76</v>
      </c>
      <c r="D38" s="50">
        <f>D22-D35</f>
        <v>-19755.940000000002</v>
      </c>
      <c r="E38" s="50"/>
      <c r="F38" s="50">
        <f>F22-F35</f>
        <v>-13277.39</v>
      </c>
      <c r="G38" s="50"/>
      <c r="H38" s="50">
        <f>H22-H35</f>
        <v>-6510.5399999999936</v>
      </c>
      <c r="I38" s="49"/>
      <c r="J38" s="50">
        <f>J22-J35</f>
        <v>5554.5800000000017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2:64" x14ac:dyDescent="0.2"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</row>
    <row r="40" spans="2:64" x14ac:dyDescent="0.2"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</row>
    <row r="41" spans="2:64" x14ac:dyDescent="0.2"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</row>
    <row r="42" spans="2:64" x14ac:dyDescent="0.2"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</row>
    <row r="43" spans="2:64" x14ac:dyDescent="0.2"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</row>
    <row r="44" spans="2:64" x14ac:dyDescent="0.2"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</row>
    <row r="45" spans="2:64" x14ac:dyDescent="0.2"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</row>
    <row r="46" spans="2:64" x14ac:dyDescent="0.2"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</row>
    <row r="47" spans="2:64" x14ac:dyDescent="0.2"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</row>
    <row r="48" spans="2:64" x14ac:dyDescent="0.2"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</row>
    <row r="49" spans="4:64" x14ac:dyDescent="0.2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</row>
    <row r="50" spans="4:64" x14ac:dyDescent="0.2"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</row>
    <row r="51" spans="4:64" x14ac:dyDescent="0.2"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</row>
    <row r="52" spans="4:64" x14ac:dyDescent="0.2"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</row>
    <row r="53" spans="4:64" x14ac:dyDescent="0.2"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4:64" x14ac:dyDescent="0.2"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4:64" x14ac:dyDescent="0.2"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</row>
    <row r="56" spans="4:64" x14ac:dyDescent="0.2"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</row>
    <row r="57" spans="4:64" x14ac:dyDescent="0.2"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</row>
    <row r="58" spans="4:64" x14ac:dyDescent="0.2"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</row>
    <row r="59" spans="4:64" x14ac:dyDescent="0.2"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</row>
    <row r="60" spans="4:64" x14ac:dyDescent="0.2"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</row>
    <row r="61" spans="4:64" x14ac:dyDescent="0.2"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</row>
    <row r="62" spans="4:64" x14ac:dyDescent="0.2"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</row>
    <row r="63" spans="4:64" x14ac:dyDescent="0.2"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</row>
    <row r="64" spans="4:64" x14ac:dyDescent="0.2"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</row>
    <row r="65" spans="4:64" x14ac:dyDescent="0.2"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</row>
    <row r="66" spans="4:64" x14ac:dyDescent="0.2"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</row>
    <row r="67" spans="4:64" x14ac:dyDescent="0.2"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</row>
    <row r="68" spans="4:64" x14ac:dyDescent="0.2"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</row>
    <row r="69" spans="4:64" x14ac:dyDescent="0.2"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</row>
  </sheetData>
  <mergeCells count="2">
    <mergeCell ref="B2:J2"/>
    <mergeCell ref="B3:J3"/>
  </mergeCells>
  <phoneticPr fontId="0" type="noConversion"/>
  <pageMargins left="0.75" right="0.75" top="1" bottom="1" header="0.5" footer="0.5"/>
  <pageSetup scale="9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workbookViewId="0">
      <selection activeCell="D7" sqref="D7"/>
    </sheetView>
  </sheetViews>
  <sheetFormatPr defaultRowHeight="12.75" x14ac:dyDescent="0.2"/>
  <cols>
    <col min="1" max="1" width="28.140625" bestFit="1" customWidth="1"/>
    <col min="2" max="2" width="14.5703125" customWidth="1"/>
    <col min="3" max="3" width="14" customWidth="1"/>
    <col min="4" max="4" width="15.85546875" customWidth="1"/>
    <col min="5" max="5" width="16.28515625" customWidth="1"/>
    <col min="9" max="9" width="9.7109375" bestFit="1" customWidth="1"/>
  </cols>
  <sheetData>
    <row r="1" spans="1:8" ht="15.75" x14ac:dyDescent="0.25">
      <c r="A1" s="73" t="s">
        <v>221</v>
      </c>
      <c r="B1" s="74"/>
      <c r="C1" s="74"/>
      <c r="D1" s="74"/>
      <c r="E1" s="74"/>
    </row>
    <row r="2" spans="1:8" x14ac:dyDescent="0.2">
      <c r="B2" s="16"/>
      <c r="C2" s="16"/>
      <c r="D2" s="16"/>
      <c r="E2" s="18"/>
    </row>
    <row r="3" spans="1:8" ht="15" x14ac:dyDescent="0.25">
      <c r="A3" s="20"/>
      <c r="B3" s="21" t="s">
        <v>222</v>
      </c>
      <c r="C3" s="21" t="s">
        <v>12</v>
      </c>
      <c r="D3" s="21" t="s">
        <v>13</v>
      </c>
      <c r="E3" s="22" t="s">
        <v>14</v>
      </c>
    </row>
    <row r="4" spans="1:8" ht="15" x14ac:dyDescent="0.25">
      <c r="A4" s="19" t="s">
        <v>15</v>
      </c>
      <c r="B4" s="23"/>
      <c r="C4" s="23"/>
      <c r="D4" s="23"/>
      <c r="E4" s="24"/>
    </row>
    <row r="5" spans="1:8" ht="15" x14ac:dyDescent="0.25">
      <c r="A5" s="19" t="s">
        <v>16</v>
      </c>
      <c r="B5" s="23"/>
      <c r="C5" s="23"/>
      <c r="D5" s="23"/>
      <c r="E5" s="24"/>
    </row>
    <row r="6" spans="1:8" ht="15" x14ac:dyDescent="0.25">
      <c r="A6" s="19" t="s">
        <v>17</v>
      </c>
      <c r="B6" s="63"/>
      <c r="C6" s="63"/>
      <c r="D6" s="23"/>
      <c r="E6" s="24"/>
    </row>
    <row r="7" spans="1:8" x14ac:dyDescent="0.2">
      <c r="A7" s="11" t="s">
        <v>18</v>
      </c>
      <c r="B7" s="64">
        <v>218</v>
      </c>
      <c r="C7" s="64">
        <v>225</v>
      </c>
      <c r="D7" s="34">
        <f>B7-C7</f>
        <v>-7</v>
      </c>
      <c r="E7" s="36"/>
    </row>
    <row r="8" spans="1:8" x14ac:dyDescent="0.2">
      <c r="A8" s="11" t="s">
        <v>19</v>
      </c>
      <c r="B8" s="64"/>
      <c r="C8" s="64"/>
      <c r="D8" s="34">
        <f>B8-C8</f>
        <v>0</v>
      </c>
      <c r="E8" s="36"/>
    </row>
    <row r="9" spans="1:8" x14ac:dyDescent="0.2">
      <c r="A9" s="39" t="s">
        <v>208</v>
      </c>
      <c r="B9" s="64">
        <v>310</v>
      </c>
      <c r="C9" s="64">
        <v>50</v>
      </c>
      <c r="D9" s="34"/>
      <c r="E9" s="36"/>
      <c r="G9" s="25"/>
      <c r="H9" s="25"/>
    </row>
    <row r="10" spans="1:8" x14ac:dyDescent="0.2">
      <c r="A10" s="11" t="s">
        <v>20</v>
      </c>
      <c r="B10" s="64"/>
      <c r="C10" s="64"/>
      <c r="D10" s="34"/>
      <c r="E10" s="36"/>
      <c r="G10" s="25"/>
      <c r="H10" s="25"/>
    </row>
    <row r="11" spans="1:8" x14ac:dyDescent="0.2">
      <c r="A11" s="11" t="s">
        <v>151</v>
      </c>
      <c r="B11" s="64">
        <v>1875</v>
      </c>
      <c r="C11" s="64">
        <v>1300</v>
      </c>
      <c r="D11" s="34"/>
      <c r="E11" s="36"/>
    </row>
    <row r="12" spans="1:8" x14ac:dyDescent="0.2">
      <c r="A12" s="11" t="s">
        <v>21</v>
      </c>
      <c r="B12" s="64">
        <v>0</v>
      </c>
      <c r="C12" s="64"/>
      <c r="D12" s="34"/>
      <c r="E12" s="36"/>
    </row>
    <row r="13" spans="1:8" x14ac:dyDescent="0.2">
      <c r="A13" s="11" t="s">
        <v>142</v>
      </c>
      <c r="B13" s="64">
        <v>45</v>
      </c>
      <c r="C13" s="64"/>
      <c r="D13" s="34"/>
      <c r="E13" s="36"/>
    </row>
    <row r="14" spans="1:8" x14ac:dyDescent="0.2">
      <c r="A14" s="11" t="s">
        <v>22</v>
      </c>
      <c r="B14" s="64">
        <v>647.20000000000005</v>
      </c>
      <c r="C14" s="64">
        <v>800</v>
      </c>
      <c r="D14" s="34">
        <f>B14-C14</f>
        <v>-152.79999999999995</v>
      </c>
      <c r="E14" s="36">
        <f>B14/C14</f>
        <v>0.80900000000000005</v>
      </c>
    </row>
    <row r="15" spans="1:8" x14ac:dyDescent="0.2">
      <c r="A15" s="11" t="s">
        <v>23</v>
      </c>
      <c r="B15" s="64"/>
      <c r="C15" s="64"/>
      <c r="D15" s="34"/>
      <c r="E15" s="36"/>
      <c r="G15" s="25"/>
      <c r="H15" s="25"/>
    </row>
    <row r="16" spans="1:8" x14ac:dyDescent="0.2">
      <c r="A16" s="11" t="s">
        <v>24</v>
      </c>
      <c r="B16" s="42">
        <f>SUM(B12:B15)</f>
        <v>692.2</v>
      </c>
      <c r="C16" s="42">
        <f>SUM(C12:C15)</f>
        <v>800</v>
      </c>
      <c r="D16" s="35">
        <f>B16-C16</f>
        <v>-107.79999999999995</v>
      </c>
      <c r="E16" s="37">
        <f>B16/C16</f>
        <v>0.86525000000000007</v>
      </c>
      <c r="G16" s="25"/>
      <c r="H16" s="25"/>
    </row>
    <row r="17" spans="1:8" x14ac:dyDescent="0.2">
      <c r="A17" s="11" t="s">
        <v>25</v>
      </c>
      <c r="B17" s="64">
        <v>56783.6</v>
      </c>
      <c r="C17" s="64">
        <v>58800</v>
      </c>
      <c r="D17" s="34">
        <f>B17-C17</f>
        <v>-2016.4000000000015</v>
      </c>
      <c r="E17" s="36">
        <f>B17/C17</f>
        <v>0.96570748299319731</v>
      </c>
    </row>
    <row r="18" spans="1:8" x14ac:dyDescent="0.2">
      <c r="A18" s="11" t="s">
        <v>26</v>
      </c>
      <c r="B18" s="64"/>
      <c r="C18" s="64"/>
      <c r="D18" s="34"/>
      <c r="E18" s="36"/>
    </row>
    <row r="19" spans="1:8" s="26" customFormat="1" x14ac:dyDescent="0.2">
      <c r="A19" s="27" t="s">
        <v>27</v>
      </c>
      <c r="B19" s="42">
        <f>B16+B8+B7+B10+B17+B18+B9+B11</f>
        <v>59878.799999999996</v>
      </c>
      <c r="C19" s="42">
        <f>C16+C8+C7+C10+C17+C18+C9+C11</f>
        <v>61175</v>
      </c>
      <c r="D19" s="35">
        <f>B19-C19</f>
        <v>-1296.2000000000044</v>
      </c>
      <c r="E19" s="37">
        <f>B19/C19</f>
        <v>0.97881160604822226</v>
      </c>
      <c r="F19"/>
      <c r="G19" s="25"/>
      <c r="H19" s="25"/>
    </row>
    <row r="20" spans="1:8" s="26" customFormat="1" x14ac:dyDescent="0.2">
      <c r="A20" s="27" t="s">
        <v>28</v>
      </c>
      <c r="B20" s="42"/>
      <c r="C20" s="42"/>
      <c r="D20" s="34"/>
      <c r="E20" s="36"/>
      <c r="F20"/>
      <c r="G20" s="25"/>
      <c r="H20" s="25"/>
    </row>
    <row r="21" spans="1:8" s="26" customFormat="1" x14ac:dyDescent="0.2">
      <c r="A21" s="39" t="s">
        <v>163</v>
      </c>
      <c r="B21" s="54"/>
      <c r="C21" s="54"/>
      <c r="D21" s="34"/>
      <c r="E21" s="36"/>
      <c r="F21"/>
      <c r="G21"/>
      <c r="H21"/>
    </row>
    <row r="22" spans="1:8" s="26" customFormat="1" x14ac:dyDescent="0.2">
      <c r="A22" s="39" t="s">
        <v>152</v>
      </c>
      <c r="B22" s="42"/>
      <c r="C22" s="42"/>
      <c r="D22" s="34"/>
      <c r="E22" s="36"/>
      <c r="F22"/>
      <c r="G22"/>
      <c r="H22"/>
    </row>
    <row r="23" spans="1:8" s="26" customFormat="1" x14ac:dyDescent="0.2">
      <c r="A23" s="39" t="s">
        <v>164</v>
      </c>
      <c r="B23" s="54">
        <v>2441.41</v>
      </c>
      <c r="C23" s="54">
        <v>4500</v>
      </c>
      <c r="D23" s="34"/>
      <c r="E23" s="36"/>
      <c r="F23"/>
      <c r="G23"/>
      <c r="H23"/>
    </row>
    <row r="24" spans="1:8" s="26" customFormat="1" x14ac:dyDescent="0.2">
      <c r="A24" s="39" t="s">
        <v>153</v>
      </c>
      <c r="B24" s="54"/>
      <c r="C24" s="54"/>
      <c r="D24" s="34"/>
      <c r="E24" s="36"/>
      <c r="F24"/>
      <c r="G24" s="25"/>
      <c r="H24" s="25"/>
    </row>
    <row r="25" spans="1:8" s="26" customFormat="1" x14ac:dyDescent="0.2">
      <c r="A25" s="27" t="s">
        <v>154</v>
      </c>
      <c r="B25" s="42">
        <f>SUM(B23:B24)</f>
        <v>2441.41</v>
      </c>
      <c r="C25" s="42">
        <f>SUM(C23:C24)</f>
        <v>4500</v>
      </c>
      <c r="D25" s="35">
        <f>SUM(D23:D24)</f>
        <v>0</v>
      </c>
      <c r="E25" s="36"/>
      <c r="F25"/>
      <c r="G25" s="25"/>
      <c r="H25" s="25"/>
    </row>
    <row r="26" spans="1:8" x14ac:dyDescent="0.2">
      <c r="A26" s="11" t="s">
        <v>77</v>
      </c>
      <c r="B26" s="64"/>
      <c r="C26" s="64"/>
      <c r="D26" s="34"/>
      <c r="E26" s="36"/>
      <c r="G26" s="25"/>
      <c r="H26" s="25"/>
    </row>
    <row r="27" spans="1:8" x14ac:dyDescent="0.2">
      <c r="A27" s="11" t="s">
        <v>29</v>
      </c>
      <c r="B27" s="64"/>
      <c r="C27" s="64"/>
      <c r="D27" s="34"/>
      <c r="E27" s="36"/>
    </row>
    <row r="28" spans="1:8" x14ac:dyDescent="0.2">
      <c r="A28" s="11" t="s">
        <v>30</v>
      </c>
      <c r="B28" s="64">
        <v>117.25</v>
      </c>
      <c r="C28" s="64">
        <v>100</v>
      </c>
      <c r="D28" s="34">
        <f>B28-C28</f>
        <v>17.25</v>
      </c>
      <c r="E28" s="36">
        <f>B28/C28</f>
        <v>1.1725000000000001</v>
      </c>
      <c r="G28" s="25"/>
      <c r="H28" s="25"/>
    </row>
    <row r="29" spans="1:8" x14ac:dyDescent="0.2">
      <c r="A29" s="27" t="s">
        <v>31</v>
      </c>
      <c r="B29" s="42">
        <f>SUM(B28)</f>
        <v>117.25</v>
      </c>
      <c r="C29" s="42">
        <f>SUM(C28)</f>
        <v>100</v>
      </c>
      <c r="D29" s="35">
        <f>SUM(D28)</f>
        <v>17.25</v>
      </c>
      <c r="E29" s="37">
        <f>B29/C29</f>
        <v>1.1725000000000001</v>
      </c>
      <c r="G29" s="25"/>
      <c r="H29" s="25"/>
    </row>
    <row r="30" spans="1:8" x14ac:dyDescent="0.2">
      <c r="A30" s="11" t="s">
        <v>155</v>
      </c>
      <c r="B30" s="64">
        <v>2370.02</v>
      </c>
      <c r="C30" s="64">
        <v>1492.6</v>
      </c>
      <c r="D30" s="34"/>
      <c r="E30" s="36"/>
    </row>
    <row r="31" spans="1:8" s="26" customFormat="1" x14ac:dyDescent="0.2">
      <c r="A31" s="27" t="s">
        <v>32</v>
      </c>
      <c r="B31" s="42">
        <f>B25+B29+B21+B30</f>
        <v>4928.68</v>
      </c>
      <c r="C31" s="42">
        <f>C25+C29+C21+C30</f>
        <v>6092.6</v>
      </c>
      <c r="D31" s="34">
        <f>B31-C31</f>
        <v>-1163.92</v>
      </c>
      <c r="E31" s="37">
        <f>B31/C31</f>
        <v>0.80896169123198636</v>
      </c>
      <c r="F31"/>
      <c r="G31"/>
      <c r="H31"/>
    </row>
    <row r="32" spans="1:8" s="26" customFormat="1" x14ac:dyDescent="0.2">
      <c r="A32" s="27" t="s">
        <v>156</v>
      </c>
      <c r="B32" s="42">
        <f>B19+B31</f>
        <v>64807.479999999996</v>
      </c>
      <c r="C32" s="42">
        <f>C19+C31</f>
        <v>67267.600000000006</v>
      </c>
      <c r="D32" s="35">
        <f>B32-C32</f>
        <v>-2460.1200000000099</v>
      </c>
      <c r="E32" s="37">
        <f>B32/C32</f>
        <v>0.96342786125861468</v>
      </c>
      <c r="F32"/>
      <c r="G32"/>
      <c r="H32"/>
    </row>
    <row r="33" spans="1:8" s="26" customFormat="1" x14ac:dyDescent="0.2">
      <c r="A33" s="27" t="s">
        <v>198</v>
      </c>
      <c r="B33" s="42">
        <v>4666.62</v>
      </c>
      <c r="C33" s="42">
        <v>5333.34</v>
      </c>
      <c r="D33" s="42">
        <f>B33-C33</f>
        <v>-666.72000000000025</v>
      </c>
      <c r="E33" s="37"/>
      <c r="F33"/>
      <c r="G33"/>
      <c r="H33"/>
    </row>
    <row r="34" spans="1:8" s="26" customFormat="1" x14ac:dyDescent="0.2">
      <c r="A34" s="27" t="s">
        <v>157</v>
      </c>
      <c r="B34" s="42"/>
      <c r="C34" s="42"/>
      <c r="D34" s="34"/>
      <c r="E34" s="36"/>
      <c r="F34"/>
      <c r="G34"/>
      <c r="H34"/>
    </row>
    <row r="35" spans="1:8" s="26" customFormat="1" x14ac:dyDescent="0.2">
      <c r="A35" s="39" t="s">
        <v>158</v>
      </c>
      <c r="B35" s="54"/>
      <c r="C35" s="42"/>
      <c r="D35" s="34"/>
      <c r="E35" s="36"/>
      <c r="F35"/>
      <c r="G35"/>
      <c r="H35"/>
    </row>
    <row r="36" spans="1:8" s="26" customFormat="1" x14ac:dyDescent="0.2">
      <c r="A36" s="39" t="s">
        <v>186</v>
      </c>
      <c r="B36" s="54"/>
      <c r="C36" s="54">
        <v>400</v>
      </c>
      <c r="D36" s="40">
        <f t="shared" ref="D36:D40" si="0">B36-C36</f>
        <v>-400</v>
      </c>
      <c r="E36" s="41">
        <f t="shared" ref="E36:E40" si="1">B36/C36</f>
        <v>0</v>
      </c>
      <c r="F36"/>
      <c r="G36" s="25"/>
      <c r="H36" s="25"/>
    </row>
    <row r="37" spans="1:8" s="26" customFormat="1" x14ac:dyDescent="0.2">
      <c r="A37" s="39" t="s">
        <v>187</v>
      </c>
      <c r="B37" s="54">
        <v>450</v>
      </c>
      <c r="C37" s="54">
        <v>800</v>
      </c>
      <c r="D37" s="40">
        <f t="shared" si="0"/>
        <v>-350</v>
      </c>
      <c r="E37" s="41">
        <f t="shared" si="1"/>
        <v>0.5625</v>
      </c>
      <c r="F37"/>
      <c r="G37"/>
      <c r="H37"/>
    </row>
    <row r="38" spans="1:8" s="26" customFormat="1" x14ac:dyDescent="0.2">
      <c r="A38" s="39" t="s">
        <v>188</v>
      </c>
      <c r="B38" s="54">
        <v>50</v>
      </c>
      <c r="C38" s="54">
        <v>800</v>
      </c>
      <c r="D38" s="40">
        <f t="shared" si="0"/>
        <v>-750</v>
      </c>
      <c r="E38" s="41">
        <f t="shared" si="1"/>
        <v>6.25E-2</v>
      </c>
      <c r="F38"/>
      <c r="G38" s="25"/>
      <c r="H38"/>
    </row>
    <row r="39" spans="1:8" s="26" customFormat="1" x14ac:dyDescent="0.2">
      <c r="A39" s="39" t="s">
        <v>189</v>
      </c>
      <c r="B39" s="54">
        <v>20</v>
      </c>
      <c r="C39" s="54">
        <v>400</v>
      </c>
      <c r="D39" s="40">
        <f t="shared" si="0"/>
        <v>-380</v>
      </c>
      <c r="E39" s="41">
        <f t="shared" si="1"/>
        <v>0.05</v>
      </c>
      <c r="F39"/>
      <c r="G39" s="25"/>
      <c r="H39"/>
    </row>
    <row r="40" spans="1:8" s="26" customFormat="1" x14ac:dyDescent="0.2">
      <c r="A40" s="27" t="s">
        <v>193</v>
      </c>
      <c r="B40" s="54">
        <f>SUM(B36:B39)</f>
        <v>520</v>
      </c>
      <c r="C40" s="54">
        <f>SUM(C36:C39)</f>
        <v>2400</v>
      </c>
      <c r="D40" s="40">
        <f t="shared" si="0"/>
        <v>-1880</v>
      </c>
      <c r="E40" s="41">
        <f t="shared" si="1"/>
        <v>0.21666666666666667</v>
      </c>
      <c r="F40"/>
      <c r="G40" s="25"/>
      <c r="H40" s="25"/>
    </row>
    <row r="41" spans="1:8" s="26" customFormat="1" x14ac:dyDescent="0.2">
      <c r="A41" s="39" t="s">
        <v>200</v>
      </c>
      <c r="B41" s="54"/>
      <c r="C41" s="54"/>
      <c r="D41" s="54"/>
      <c r="E41" s="41"/>
      <c r="F41"/>
      <c r="G41"/>
      <c r="H41"/>
    </row>
    <row r="42" spans="1:8" s="26" customFormat="1" x14ac:dyDescent="0.2">
      <c r="A42" s="39" t="s">
        <v>201</v>
      </c>
      <c r="B42" s="54">
        <v>560</v>
      </c>
      <c r="C42" s="54"/>
      <c r="D42" s="54"/>
      <c r="E42" s="41"/>
      <c r="F42"/>
      <c r="G42"/>
      <c r="H42"/>
    </row>
    <row r="43" spans="1:8" s="26" customFormat="1" x14ac:dyDescent="0.2">
      <c r="A43" s="27" t="s">
        <v>159</v>
      </c>
      <c r="B43" s="42">
        <f>B40+B35+B41+B42</f>
        <v>1080</v>
      </c>
      <c r="C43" s="42">
        <f>C40+C35+C41+C42</f>
        <v>2400</v>
      </c>
      <c r="D43" s="40">
        <f t="shared" ref="D43" si="2">B43-C43</f>
        <v>-1320</v>
      </c>
      <c r="E43" s="41">
        <f t="shared" ref="E43" si="3">B43/C43</f>
        <v>0.45</v>
      </c>
      <c r="F43"/>
      <c r="G43"/>
      <c r="H43"/>
    </row>
    <row r="44" spans="1:8" s="26" customFormat="1" x14ac:dyDescent="0.2">
      <c r="A44" s="27" t="s">
        <v>33</v>
      </c>
      <c r="B44" s="42">
        <f>B32+B43+B33</f>
        <v>70554.099999999991</v>
      </c>
      <c r="C44" s="42">
        <f>C32+C43+C33</f>
        <v>75000.94</v>
      </c>
      <c r="D44" s="35">
        <f>B44-C44</f>
        <v>-4446.8400000000111</v>
      </c>
      <c r="E44" s="37">
        <f>B44/C44</f>
        <v>0.94070954310705956</v>
      </c>
      <c r="F44"/>
      <c r="G44"/>
      <c r="H44" s="25"/>
    </row>
    <row r="45" spans="1:8" x14ac:dyDescent="0.2">
      <c r="A45" s="11"/>
      <c r="B45" s="64"/>
      <c r="C45" s="64"/>
      <c r="D45" s="34"/>
      <c r="E45" s="36"/>
    </row>
    <row r="46" spans="1:8" x14ac:dyDescent="0.2">
      <c r="A46" s="27" t="s">
        <v>34</v>
      </c>
      <c r="B46" s="64"/>
      <c r="C46" s="64"/>
      <c r="D46" s="34"/>
      <c r="E46" s="36"/>
      <c r="G46" s="25"/>
    </row>
    <row r="47" spans="1:8" x14ac:dyDescent="0.2">
      <c r="A47" s="27" t="s">
        <v>35</v>
      </c>
      <c r="B47" s="64"/>
      <c r="C47" s="64"/>
      <c r="D47" s="34"/>
      <c r="E47" s="36"/>
      <c r="G47" s="25"/>
    </row>
    <row r="48" spans="1:8" x14ac:dyDescent="0.2">
      <c r="A48" s="11" t="s">
        <v>36</v>
      </c>
      <c r="B48" s="64">
        <v>1280</v>
      </c>
      <c r="C48" s="64">
        <v>1330</v>
      </c>
      <c r="D48" s="34">
        <f>B48-C48</f>
        <v>-50</v>
      </c>
      <c r="E48" s="41"/>
      <c r="G48" s="25"/>
      <c r="H48" s="25"/>
    </row>
    <row r="49" spans="1:9" x14ac:dyDescent="0.2">
      <c r="A49" s="11" t="s">
        <v>37</v>
      </c>
      <c r="B49" s="64">
        <f>14518.12+3629.53+3629.53+3629.53+3629.53</f>
        <v>29036.239999999998</v>
      </c>
      <c r="C49" s="64">
        <f>23500+3917+3917</f>
        <v>31334</v>
      </c>
      <c r="D49" s="34">
        <f>B49-C49</f>
        <v>-2297.760000000002</v>
      </c>
      <c r="E49" s="41">
        <f>B49/C49</f>
        <v>0.92666879428097271</v>
      </c>
      <c r="H49" s="25"/>
    </row>
    <row r="50" spans="1:9" x14ac:dyDescent="0.2">
      <c r="A50" s="39" t="s">
        <v>203</v>
      </c>
      <c r="B50" s="64">
        <f>291.87+1167.48+291.87+291.87+291.87</f>
        <v>2334.9599999999996</v>
      </c>
      <c r="C50" s="64">
        <v>2170</v>
      </c>
      <c r="D50" s="34"/>
      <c r="E50" s="36"/>
      <c r="G50" s="25"/>
      <c r="H50" s="25"/>
    </row>
    <row r="51" spans="1:9" x14ac:dyDescent="0.2">
      <c r="A51" s="11" t="s">
        <v>136</v>
      </c>
      <c r="B51" s="64"/>
      <c r="C51" s="64"/>
      <c r="D51" s="34"/>
      <c r="E51" s="36"/>
      <c r="G51" s="25"/>
      <c r="H51" s="25"/>
    </row>
    <row r="52" spans="1:9" x14ac:dyDescent="0.2">
      <c r="A52" s="11" t="s">
        <v>38</v>
      </c>
      <c r="B52" s="64"/>
      <c r="C52" s="64"/>
      <c r="D52" s="34"/>
      <c r="E52" s="36"/>
      <c r="G52" s="25"/>
    </row>
    <row r="53" spans="1:9" x14ac:dyDescent="0.2">
      <c r="A53" s="11" t="s">
        <v>39</v>
      </c>
      <c r="B53" s="64">
        <v>1200</v>
      </c>
      <c r="C53" s="64">
        <v>1200</v>
      </c>
      <c r="D53" s="34"/>
      <c r="E53" s="41"/>
      <c r="G53" s="25"/>
      <c r="H53" s="25"/>
    </row>
    <row r="54" spans="1:9" x14ac:dyDescent="0.2">
      <c r="A54" s="11" t="s">
        <v>165</v>
      </c>
      <c r="B54" s="64">
        <v>6352.65</v>
      </c>
      <c r="C54" s="64">
        <v>6525</v>
      </c>
      <c r="D54" s="34"/>
      <c r="E54" s="41"/>
    </row>
    <row r="55" spans="1:9" x14ac:dyDescent="0.2">
      <c r="A55" s="11" t="s">
        <v>40</v>
      </c>
      <c r="B55" s="64"/>
      <c r="C55" s="64"/>
      <c r="D55" s="34">
        <f>B55-C55</f>
        <v>0</v>
      </c>
      <c r="E55" s="41"/>
      <c r="H55" s="25"/>
    </row>
    <row r="56" spans="1:9" x14ac:dyDescent="0.2">
      <c r="A56" s="27" t="s">
        <v>41</v>
      </c>
      <c r="B56" s="42">
        <f>SUM(B48:B55)</f>
        <v>40203.85</v>
      </c>
      <c r="C56" s="42">
        <f>SUM(C48:C55)</f>
        <v>42559</v>
      </c>
      <c r="D56" s="35">
        <f>B56-C56</f>
        <v>-2355.1500000000015</v>
      </c>
      <c r="E56" s="37">
        <f>B56/C56</f>
        <v>0.94466152870133224</v>
      </c>
      <c r="H56" s="25"/>
    </row>
    <row r="57" spans="1:9" x14ac:dyDescent="0.2">
      <c r="A57" s="27" t="s">
        <v>42</v>
      </c>
      <c r="B57" s="42"/>
      <c r="C57" s="42"/>
      <c r="D57" s="34"/>
      <c r="E57" s="36"/>
    </row>
    <row r="58" spans="1:9" x14ac:dyDescent="0.2">
      <c r="A58" s="11" t="s">
        <v>43</v>
      </c>
      <c r="B58" s="64">
        <v>3800</v>
      </c>
      <c r="C58" s="64">
        <v>4000</v>
      </c>
      <c r="D58" s="34">
        <f t="shared" ref="D58:D63" si="4">B58-C58</f>
        <v>-200</v>
      </c>
      <c r="E58" s="41">
        <f>B58/C58</f>
        <v>0.95</v>
      </c>
    </row>
    <row r="59" spans="1:9" x14ac:dyDescent="0.2">
      <c r="A59" s="11" t="s">
        <v>44</v>
      </c>
      <c r="B59" s="64">
        <v>5120</v>
      </c>
      <c r="C59" s="64">
        <v>5200</v>
      </c>
      <c r="D59" s="34">
        <f t="shared" si="4"/>
        <v>-80</v>
      </c>
      <c r="E59" s="41">
        <f>B59/C59</f>
        <v>0.98461538461538467</v>
      </c>
      <c r="H59" s="25"/>
    </row>
    <row r="60" spans="1:9" x14ac:dyDescent="0.2">
      <c r="A60" s="11" t="s">
        <v>45</v>
      </c>
      <c r="B60" s="64">
        <v>603.64</v>
      </c>
      <c r="C60" s="64">
        <v>533</v>
      </c>
      <c r="D60" s="34">
        <f t="shared" si="4"/>
        <v>70.639999999999986</v>
      </c>
      <c r="E60" s="41">
        <f>B60/C60</f>
        <v>1.1325328330206379</v>
      </c>
      <c r="G60" s="25"/>
      <c r="H60" s="25"/>
      <c r="I60" s="25"/>
    </row>
    <row r="61" spans="1:9" x14ac:dyDescent="0.2">
      <c r="A61" s="11" t="s">
        <v>46</v>
      </c>
      <c r="B61" s="64">
        <v>185.02</v>
      </c>
      <c r="C61" s="64">
        <v>115</v>
      </c>
      <c r="D61" s="34">
        <f t="shared" si="4"/>
        <v>70.02000000000001</v>
      </c>
      <c r="E61" s="41">
        <f>B61/C61</f>
        <v>1.6088695652173914</v>
      </c>
      <c r="I61" s="38"/>
    </row>
    <row r="62" spans="1:9" x14ac:dyDescent="0.2">
      <c r="A62" s="39" t="s">
        <v>202</v>
      </c>
      <c r="B62" s="64"/>
      <c r="C62" s="64"/>
      <c r="D62" s="34">
        <f t="shared" si="4"/>
        <v>0</v>
      </c>
      <c r="E62" s="41"/>
      <c r="G62" s="25"/>
      <c r="H62" s="25"/>
    </row>
    <row r="63" spans="1:9" x14ac:dyDescent="0.2">
      <c r="A63" s="11" t="s">
        <v>137</v>
      </c>
      <c r="B63" s="64">
        <v>420</v>
      </c>
      <c r="C63" s="64">
        <v>1000</v>
      </c>
      <c r="D63" s="34">
        <f t="shared" si="4"/>
        <v>-580</v>
      </c>
      <c r="E63" s="41"/>
      <c r="G63" s="25"/>
      <c r="H63" s="25"/>
    </row>
    <row r="64" spans="1:9" x14ac:dyDescent="0.2">
      <c r="A64" s="27" t="s">
        <v>47</v>
      </c>
      <c r="B64" s="42">
        <f>SUM(B58:B63)</f>
        <v>10128.66</v>
      </c>
      <c r="C64" s="42">
        <f>SUM(C58:C63)</f>
        <v>10848</v>
      </c>
      <c r="D64" s="35">
        <f>SUM(D58:D63)</f>
        <v>-719.34</v>
      </c>
      <c r="E64" s="37">
        <f>B64/C64</f>
        <v>0.93368915929203533</v>
      </c>
      <c r="G64" s="25"/>
      <c r="H64" s="25"/>
    </row>
    <row r="65" spans="1:8" x14ac:dyDescent="0.2">
      <c r="A65" s="27" t="s">
        <v>48</v>
      </c>
      <c r="B65" s="42"/>
      <c r="C65" s="42"/>
      <c r="D65" s="34"/>
      <c r="E65" s="36"/>
      <c r="G65" s="25"/>
      <c r="H65" s="25"/>
    </row>
    <row r="66" spans="1:8" x14ac:dyDescent="0.2">
      <c r="A66" s="11" t="s">
        <v>49</v>
      </c>
      <c r="B66" s="64">
        <v>10112.950000000001</v>
      </c>
      <c r="C66" s="64">
        <v>6660</v>
      </c>
      <c r="D66" s="34">
        <f>B66-C66</f>
        <v>3452.9500000000007</v>
      </c>
      <c r="E66" s="41">
        <f>B66/C66</f>
        <v>1.5184609609609612</v>
      </c>
    </row>
    <row r="67" spans="1:8" x14ac:dyDescent="0.2">
      <c r="A67" s="11" t="s">
        <v>166</v>
      </c>
      <c r="B67" s="64">
        <v>4510.55</v>
      </c>
      <c r="C67" s="64">
        <v>3700</v>
      </c>
      <c r="D67" s="34">
        <f>B67-C67</f>
        <v>810.55000000000018</v>
      </c>
      <c r="E67" s="41"/>
    </row>
    <row r="68" spans="1:8" x14ac:dyDescent="0.2">
      <c r="A68" s="11" t="s">
        <v>50</v>
      </c>
      <c r="B68" s="64"/>
      <c r="C68" s="64"/>
      <c r="D68" s="34">
        <f>B68-C68</f>
        <v>0</v>
      </c>
      <c r="E68" s="41"/>
    </row>
    <row r="69" spans="1:8" x14ac:dyDescent="0.2">
      <c r="A69" s="11" t="s">
        <v>51</v>
      </c>
      <c r="B69" s="64">
        <v>5165.6899999999996</v>
      </c>
      <c r="C69" s="64">
        <v>3100</v>
      </c>
      <c r="D69" s="34">
        <f>B69-C69</f>
        <v>2065.6899999999996</v>
      </c>
      <c r="E69" s="41">
        <f>B69/C69</f>
        <v>1.6663516129032256</v>
      </c>
    </row>
    <row r="70" spans="1:8" x14ac:dyDescent="0.2">
      <c r="A70" s="27" t="s">
        <v>52</v>
      </c>
      <c r="B70" s="42">
        <f>SUM(B66:B69)</f>
        <v>19789.189999999999</v>
      </c>
      <c r="C70" s="42">
        <f>SUM(C66:C69)</f>
        <v>13460</v>
      </c>
      <c r="D70" s="35">
        <f>SUM(D66:D69)</f>
        <v>6329.1900000000005</v>
      </c>
      <c r="E70" s="37">
        <f>B70/C70</f>
        <v>1.4702221396731054</v>
      </c>
    </row>
    <row r="71" spans="1:8" x14ac:dyDescent="0.2">
      <c r="A71" s="27" t="s">
        <v>53</v>
      </c>
      <c r="B71" s="42"/>
      <c r="C71" s="42"/>
      <c r="D71" s="34"/>
      <c r="E71" s="36"/>
      <c r="G71" s="25"/>
      <c r="H71" s="25"/>
    </row>
    <row r="72" spans="1:8" x14ac:dyDescent="0.2">
      <c r="A72" s="11" t="s">
        <v>54</v>
      </c>
      <c r="B72" s="64"/>
      <c r="C72" s="64">
        <v>500</v>
      </c>
      <c r="D72" s="34">
        <f>B72-C72</f>
        <v>-500</v>
      </c>
      <c r="E72" s="41">
        <f>B72/C72</f>
        <v>0</v>
      </c>
    </row>
    <row r="73" spans="1:8" x14ac:dyDescent="0.2">
      <c r="A73" s="11" t="s">
        <v>55</v>
      </c>
      <c r="B73" s="64">
        <v>258.3</v>
      </c>
      <c r="C73" s="64">
        <v>700</v>
      </c>
      <c r="D73" s="34">
        <f>B73-C73</f>
        <v>-441.7</v>
      </c>
      <c r="E73" s="41">
        <f>B73/C73</f>
        <v>0.36899999999999999</v>
      </c>
      <c r="G73" s="25"/>
      <c r="H73" s="25"/>
    </row>
    <row r="74" spans="1:8" x14ac:dyDescent="0.2">
      <c r="A74" s="11" t="s">
        <v>56</v>
      </c>
      <c r="B74" s="64">
        <v>105.94</v>
      </c>
      <c r="C74" s="64"/>
      <c r="D74" s="34">
        <f>B74-C74</f>
        <v>105.94</v>
      </c>
      <c r="E74" s="41"/>
    </row>
    <row r="75" spans="1:8" x14ac:dyDescent="0.2">
      <c r="A75" s="11" t="s">
        <v>167</v>
      </c>
      <c r="B75" s="64"/>
      <c r="C75" s="64"/>
      <c r="D75" s="34"/>
      <c r="E75" s="36"/>
    </row>
    <row r="76" spans="1:8" x14ac:dyDescent="0.2">
      <c r="A76" s="11" t="s">
        <v>210</v>
      </c>
      <c r="B76" s="64">
        <v>420</v>
      </c>
      <c r="C76" s="64">
        <v>500</v>
      </c>
      <c r="D76" s="34"/>
      <c r="E76" s="36"/>
    </row>
    <row r="77" spans="1:8" x14ac:dyDescent="0.2">
      <c r="A77" s="11" t="s">
        <v>168</v>
      </c>
      <c r="B77" s="64">
        <v>0</v>
      </c>
      <c r="C77" s="64"/>
      <c r="D77" s="34">
        <f>B77-C77</f>
        <v>0</v>
      </c>
      <c r="E77" s="41"/>
      <c r="G77" s="25"/>
      <c r="H77" s="25"/>
    </row>
    <row r="78" spans="1:8" x14ac:dyDescent="0.2">
      <c r="A78" s="11" t="s">
        <v>169</v>
      </c>
      <c r="B78" s="64">
        <v>1517.25</v>
      </c>
      <c r="C78" s="64">
        <v>3500</v>
      </c>
      <c r="D78" s="34"/>
      <c r="E78" s="36"/>
      <c r="G78" s="25"/>
      <c r="H78" s="25"/>
    </row>
    <row r="79" spans="1:8" x14ac:dyDescent="0.2">
      <c r="A79" s="11" t="s">
        <v>170</v>
      </c>
      <c r="B79" s="64">
        <f>SUM(B76:B78)</f>
        <v>1937.25</v>
      </c>
      <c r="C79" s="64">
        <f>SUM(C76:C78)</f>
        <v>4000</v>
      </c>
      <c r="D79" s="34">
        <f>B79-C79</f>
        <v>-2062.75</v>
      </c>
      <c r="E79" s="41"/>
    </row>
    <row r="80" spans="1:8" x14ac:dyDescent="0.2">
      <c r="A80" s="11" t="s">
        <v>57</v>
      </c>
      <c r="B80" s="64">
        <v>148</v>
      </c>
      <c r="C80" s="64">
        <v>100</v>
      </c>
      <c r="D80" s="34">
        <f>B80-C80</f>
        <v>48</v>
      </c>
      <c r="E80" s="41"/>
    </row>
    <row r="81" spans="1:8" x14ac:dyDescent="0.2">
      <c r="A81" s="11" t="s">
        <v>58</v>
      </c>
      <c r="B81" s="64"/>
      <c r="C81" s="64">
        <v>0</v>
      </c>
      <c r="D81" s="34">
        <f>B81-C81</f>
        <v>0</v>
      </c>
      <c r="E81" s="41"/>
    </row>
    <row r="82" spans="1:8" x14ac:dyDescent="0.2">
      <c r="A82" t="s">
        <v>190</v>
      </c>
      <c r="B82" s="64">
        <v>2045.38</v>
      </c>
      <c r="C82" s="64">
        <v>1750</v>
      </c>
      <c r="D82" s="34">
        <f t="shared" ref="D82:D83" si="5">B82-C82</f>
        <v>295.38000000000011</v>
      </c>
      <c r="E82" s="41">
        <f t="shared" ref="E82:E83" si="6">B82/C82</f>
        <v>1.1687885714285715</v>
      </c>
      <c r="G82" s="25"/>
    </row>
    <row r="83" spans="1:8" x14ac:dyDescent="0.2">
      <c r="A83" s="39" t="s">
        <v>191</v>
      </c>
      <c r="B83" s="64">
        <f>SUM(B81:B82)</f>
        <v>2045.38</v>
      </c>
      <c r="C83" s="64">
        <f>SUM(C81:C82)</f>
        <v>1750</v>
      </c>
      <c r="D83" s="34">
        <f t="shared" si="5"/>
        <v>295.38000000000011</v>
      </c>
      <c r="E83" s="41">
        <f t="shared" si="6"/>
        <v>1.1687885714285715</v>
      </c>
    </row>
    <row r="84" spans="1:8" x14ac:dyDescent="0.2">
      <c r="A84" s="11" t="s">
        <v>59</v>
      </c>
      <c r="B84" s="64"/>
      <c r="C84" s="64">
        <v>100</v>
      </c>
      <c r="D84" s="34">
        <f>B84-C84</f>
        <v>-100</v>
      </c>
      <c r="E84" s="41"/>
      <c r="G84" s="25"/>
    </row>
    <row r="85" spans="1:8" x14ac:dyDescent="0.2">
      <c r="A85" s="11" t="s">
        <v>60</v>
      </c>
      <c r="B85" s="64"/>
      <c r="C85" s="64"/>
      <c r="D85" s="34"/>
      <c r="E85" s="41"/>
      <c r="H85" s="25"/>
    </row>
    <row r="86" spans="1:8" x14ac:dyDescent="0.2">
      <c r="A86" s="39" t="s">
        <v>199</v>
      </c>
      <c r="B86" s="64">
        <v>881.12</v>
      </c>
      <c r="C86" s="64">
        <v>433</v>
      </c>
      <c r="D86" s="34">
        <f>B86-C86</f>
        <v>448.12</v>
      </c>
      <c r="E86" s="41">
        <f t="shared" ref="E86:E91" si="7">B86/C86</f>
        <v>2.034919168591224</v>
      </c>
      <c r="G86" s="25"/>
      <c r="H86" s="25"/>
    </row>
    <row r="87" spans="1:8" x14ac:dyDescent="0.2">
      <c r="A87" s="11" t="s">
        <v>61</v>
      </c>
      <c r="B87" s="64">
        <v>87.74</v>
      </c>
      <c r="C87" s="64">
        <v>165</v>
      </c>
      <c r="D87" s="34">
        <f>B87-C87</f>
        <v>-77.260000000000005</v>
      </c>
      <c r="E87" s="41">
        <f t="shared" si="7"/>
        <v>0.53175757575757576</v>
      </c>
    </row>
    <row r="88" spans="1:8" x14ac:dyDescent="0.2">
      <c r="A88" s="11" t="s">
        <v>62</v>
      </c>
      <c r="B88" s="64">
        <v>1901.28</v>
      </c>
      <c r="C88" s="64">
        <v>200</v>
      </c>
      <c r="D88" s="34">
        <f>B88-C88</f>
        <v>1701.28</v>
      </c>
      <c r="E88" s="41">
        <f t="shared" si="7"/>
        <v>9.5063999999999993</v>
      </c>
    </row>
    <row r="89" spans="1:8" x14ac:dyDescent="0.2">
      <c r="A89" s="11" t="s">
        <v>63</v>
      </c>
      <c r="B89" s="64">
        <f>SUM(B86:B88)</f>
        <v>2870.14</v>
      </c>
      <c r="C89" s="64">
        <f>SUM(C86:C88)</f>
        <v>798</v>
      </c>
      <c r="D89" s="34">
        <f>B89-C89</f>
        <v>2072.14</v>
      </c>
      <c r="E89" s="41">
        <f t="shared" si="7"/>
        <v>3.5966666666666667</v>
      </c>
    </row>
    <row r="90" spans="1:8" x14ac:dyDescent="0.2">
      <c r="A90" s="11" t="s">
        <v>64</v>
      </c>
      <c r="B90" s="64">
        <v>547.29</v>
      </c>
      <c r="C90" s="64">
        <v>1130</v>
      </c>
      <c r="D90" s="34">
        <f>B90-C90</f>
        <v>-582.71</v>
      </c>
      <c r="E90" s="41">
        <f t="shared" si="7"/>
        <v>0.48432743362831854</v>
      </c>
      <c r="G90" s="25"/>
      <c r="H90" s="25"/>
    </row>
    <row r="91" spans="1:8" x14ac:dyDescent="0.2">
      <c r="A91" s="27" t="s">
        <v>65</v>
      </c>
      <c r="B91" s="42">
        <f>B90+B89+B84+B83+B80+B79+B74+B73+B72</f>
        <v>7912.2999999999993</v>
      </c>
      <c r="C91" s="42">
        <f>C90+C89+C84+C83+C80+C79+C74+C73+C72</f>
        <v>9078</v>
      </c>
      <c r="D91" s="35">
        <f>D90+D89+D84+D81+D80+D79+D74+D73+D72</f>
        <v>-1461.0800000000002</v>
      </c>
      <c r="E91" s="37">
        <f t="shared" si="7"/>
        <v>0.8715906587354042</v>
      </c>
    </row>
    <row r="92" spans="1:8" x14ac:dyDescent="0.2">
      <c r="A92" s="27" t="s">
        <v>66</v>
      </c>
      <c r="B92" s="42"/>
      <c r="C92" s="42"/>
      <c r="D92" s="34"/>
      <c r="E92" s="36"/>
    </row>
    <row r="93" spans="1:8" x14ac:dyDescent="0.2">
      <c r="A93" s="11" t="s">
        <v>67</v>
      </c>
      <c r="B93" s="64"/>
      <c r="C93" s="64"/>
      <c r="D93" s="34">
        <f>B93-C93</f>
        <v>0</v>
      </c>
      <c r="E93" s="41"/>
      <c r="G93" s="25"/>
      <c r="H93" s="25"/>
    </row>
    <row r="94" spans="1:8" x14ac:dyDescent="0.2">
      <c r="A94" s="11" t="s">
        <v>68</v>
      </c>
      <c r="B94" s="64"/>
      <c r="C94" s="64"/>
      <c r="D94" s="34">
        <f>B94-C94</f>
        <v>0</v>
      </c>
      <c r="E94" s="41"/>
    </row>
    <row r="95" spans="1:8" x14ac:dyDescent="0.2">
      <c r="A95" s="39" t="s">
        <v>192</v>
      </c>
      <c r="B95" s="64"/>
      <c r="C95" s="64"/>
      <c r="D95" s="34">
        <f>B95-C95</f>
        <v>0</v>
      </c>
      <c r="E95" s="41"/>
      <c r="G95" s="25"/>
      <c r="H95" s="25"/>
    </row>
    <row r="96" spans="1:8" x14ac:dyDescent="0.2">
      <c r="A96" s="27" t="s">
        <v>69</v>
      </c>
      <c r="B96" s="42">
        <f>SUM(B93:B95)</f>
        <v>0</v>
      </c>
      <c r="C96" s="42">
        <f>SUM(C93:C95)</f>
        <v>0</v>
      </c>
      <c r="D96" s="35">
        <f>B96-C96</f>
        <v>0</v>
      </c>
      <c r="E96" s="37"/>
      <c r="G96" s="25"/>
      <c r="H96" s="25"/>
    </row>
    <row r="97" spans="1:8" x14ac:dyDescent="0.2">
      <c r="A97" s="27" t="s">
        <v>70</v>
      </c>
      <c r="B97" s="42">
        <v>7333.4</v>
      </c>
      <c r="C97" s="42">
        <v>7333.33</v>
      </c>
      <c r="D97" s="35">
        <f>B97-C97</f>
        <v>6.9999999999708962E-2</v>
      </c>
      <c r="E97" s="37">
        <f>B97/C97</f>
        <v>1.0000095454588842</v>
      </c>
    </row>
    <row r="98" spans="1:8" x14ac:dyDescent="0.2">
      <c r="A98" s="27" t="s">
        <v>71</v>
      </c>
      <c r="B98" s="42"/>
      <c r="C98" s="42"/>
      <c r="D98" s="34"/>
      <c r="E98" s="36"/>
    </row>
    <row r="99" spans="1:8" x14ac:dyDescent="0.2">
      <c r="A99" s="11" t="s">
        <v>72</v>
      </c>
      <c r="B99" s="64">
        <v>3225</v>
      </c>
      <c r="C99" s="64">
        <v>2000</v>
      </c>
      <c r="D99" s="34">
        <f t="shared" ref="D99:D105" si="8">B99-C99</f>
        <v>1225</v>
      </c>
      <c r="E99" s="41">
        <f>B99/C99</f>
        <v>1.6125</v>
      </c>
      <c r="G99" s="25"/>
    </row>
    <row r="100" spans="1:8" x14ac:dyDescent="0.2">
      <c r="A100" s="11" t="s">
        <v>160</v>
      </c>
      <c r="B100" s="64">
        <v>622.64</v>
      </c>
      <c r="C100" s="64">
        <v>600</v>
      </c>
      <c r="D100" s="34">
        <f t="shared" si="8"/>
        <v>22.639999999999986</v>
      </c>
      <c r="E100" s="41">
        <f>B100/C100</f>
        <v>1.0377333333333334</v>
      </c>
      <c r="G100" s="25"/>
    </row>
    <row r="101" spans="1:8" x14ac:dyDescent="0.2">
      <c r="A101" s="39" t="s">
        <v>207</v>
      </c>
      <c r="B101" s="64">
        <v>300</v>
      </c>
      <c r="C101" s="64"/>
      <c r="D101" s="34">
        <f t="shared" ref="D101" si="9">B101-C101</f>
        <v>300</v>
      </c>
      <c r="E101" s="41"/>
      <c r="G101" s="25"/>
    </row>
    <row r="102" spans="1:8" x14ac:dyDescent="0.2">
      <c r="A102" s="11" t="s">
        <v>73</v>
      </c>
      <c r="B102" s="64"/>
      <c r="C102" s="64"/>
      <c r="D102" s="34">
        <f t="shared" si="8"/>
        <v>0</v>
      </c>
      <c r="E102" s="41"/>
    </row>
    <row r="103" spans="1:8" x14ac:dyDescent="0.2">
      <c r="A103" s="11" t="s">
        <v>74</v>
      </c>
      <c r="B103" s="64"/>
      <c r="C103" s="64"/>
      <c r="D103" s="34">
        <f t="shared" si="8"/>
        <v>0</v>
      </c>
      <c r="E103" s="41"/>
    </row>
    <row r="104" spans="1:8" x14ac:dyDescent="0.2">
      <c r="A104" s="27" t="s">
        <v>75</v>
      </c>
      <c r="B104" s="42">
        <f>SUM(B99:B103)</f>
        <v>4147.6399999999994</v>
      </c>
      <c r="C104" s="42">
        <f>SUM(C99:C103)</f>
        <v>2600</v>
      </c>
      <c r="D104" s="35">
        <f t="shared" si="8"/>
        <v>1547.6399999999994</v>
      </c>
      <c r="E104" s="37">
        <f>B104/C104</f>
        <v>1.5952461538461535</v>
      </c>
    </row>
    <row r="105" spans="1:8" x14ac:dyDescent="0.2">
      <c r="A105" s="27" t="s">
        <v>161</v>
      </c>
      <c r="B105" s="42">
        <f>B104+B97+B96+B91+B70+B64+B56</f>
        <v>89515.040000000008</v>
      </c>
      <c r="C105" s="42">
        <f>C104+C97+C96+C91+C70+C64+C56</f>
        <v>85878.33</v>
      </c>
      <c r="D105" s="35">
        <f t="shared" si="8"/>
        <v>3636.7100000000064</v>
      </c>
      <c r="E105" s="37">
        <v>1.153</v>
      </c>
    </row>
    <row r="106" spans="1:8" x14ac:dyDescent="0.2">
      <c r="A106" s="27" t="s">
        <v>162</v>
      </c>
      <c r="B106" s="42"/>
      <c r="C106" s="64"/>
      <c r="D106" s="11"/>
      <c r="E106" s="11"/>
    </row>
    <row r="107" spans="1:8" x14ac:dyDescent="0.2">
      <c r="A107" s="11" t="s">
        <v>204</v>
      </c>
      <c r="B107" s="54"/>
      <c r="C107" s="54"/>
      <c r="D107" s="11"/>
      <c r="E107" s="11"/>
    </row>
    <row r="108" spans="1:8" x14ac:dyDescent="0.2">
      <c r="A108" s="11" t="s">
        <v>209</v>
      </c>
      <c r="B108" s="54">
        <v>60</v>
      </c>
      <c r="C108" s="54"/>
      <c r="D108" s="11"/>
      <c r="E108" s="11"/>
      <c r="H108" s="25"/>
    </row>
    <row r="109" spans="1:8" x14ac:dyDescent="0.2">
      <c r="A109" s="11" t="s">
        <v>186</v>
      </c>
      <c r="B109" s="54">
        <v>435</v>
      </c>
      <c r="C109" s="54">
        <v>400</v>
      </c>
      <c r="D109" s="34">
        <f t="shared" ref="D109:D114" si="10">B109-C109</f>
        <v>35</v>
      </c>
      <c r="E109" s="41">
        <f t="shared" ref="E109:E114" si="11">B109/C109</f>
        <v>1.0874999999999999</v>
      </c>
      <c r="G109" s="25"/>
      <c r="H109" s="25"/>
    </row>
    <row r="110" spans="1:8" x14ac:dyDescent="0.2">
      <c r="A110" s="11" t="s">
        <v>187</v>
      </c>
      <c r="B110" s="54">
        <v>300</v>
      </c>
      <c r="C110" s="54">
        <v>800</v>
      </c>
      <c r="D110" s="34">
        <f t="shared" si="10"/>
        <v>-500</v>
      </c>
      <c r="E110" s="41">
        <f t="shared" si="11"/>
        <v>0.375</v>
      </c>
      <c r="G110" s="25"/>
      <c r="H110" s="25"/>
    </row>
    <row r="111" spans="1:8" x14ac:dyDescent="0.2">
      <c r="A111" s="11" t="s">
        <v>188</v>
      </c>
      <c r="B111" s="54"/>
      <c r="C111" s="54">
        <v>800</v>
      </c>
      <c r="D111" s="34">
        <f t="shared" si="10"/>
        <v>-800</v>
      </c>
      <c r="E111" s="41">
        <f t="shared" si="11"/>
        <v>0</v>
      </c>
    </row>
    <row r="112" spans="1:8" x14ac:dyDescent="0.2">
      <c r="A112" s="11" t="s">
        <v>189</v>
      </c>
      <c r="B112" s="54"/>
      <c r="C112" s="54">
        <v>400</v>
      </c>
      <c r="D112" s="34">
        <f t="shared" si="10"/>
        <v>-400</v>
      </c>
      <c r="E112" s="41">
        <f t="shared" si="11"/>
        <v>0</v>
      </c>
    </row>
    <row r="113" spans="1:5" x14ac:dyDescent="0.2">
      <c r="A113" s="39" t="s">
        <v>194</v>
      </c>
      <c r="B113" s="54">
        <f>SUM(B109:B112)</f>
        <v>735</v>
      </c>
      <c r="C113" s="54">
        <f>SUM(C109:C112)</f>
        <v>2400</v>
      </c>
      <c r="D113" s="34">
        <f t="shared" si="10"/>
        <v>-1665</v>
      </c>
      <c r="E113" s="41">
        <f t="shared" si="11"/>
        <v>0.30625000000000002</v>
      </c>
    </row>
    <row r="114" spans="1:5" x14ac:dyDescent="0.2">
      <c r="A114" s="27" t="s">
        <v>195</v>
      </c>
      <c r="B114" s="54">
        <f>B113+B107+B108</f>
        <v>795</v>
      </c>
      <c r="C114" s="54">
        <f>C113+C107+C108</f>
        <v>2400</v>
      </c>
      <c r="D114" s="34">
        <f t="shared" si="10"/>
        <v>-1605</v>
      </c>
      <c r="E114" s="41">
        <f t="shared" si="11"/>
        <v>0.33124999999999999</v>
      </c>
    </row>
    <row r="115" spans="1:5" x14ac:dyDescent="0.2">
      <c r="A115" s="27" t="s">
        <v>0</v>
      </c>
      <c r="B115" s="42">
        <f>B105+B114</f>
        <v>90310.040000000008</v>
      </c>
      <c r="C115" s="42">
        <f>C105+C114</f>
        <v>88278.33</v>
      </c>
      <c r="D115" s="35">
        <f>B115-C115</f>
        <v>2031.7100000000064</v>
      </c>
      <c r="E115" s="37">
        <v>1.153</v>
      </c>
    </row>
    <row r="116" spans="1:5" x14ac:dyDescent="0.2">
      <c r="A116" s="27"/>
      <c r="B116" s="42"/>
      <c r="C116" s="42"/>
      <c r="D116" s="34"/>
      <c r="E116" s="36"/>
    </row>
    <row r="117" spans="1:5" x14ac:dyDescent="0.2">
      <c r="A117" s="27" t="s">
        <v>76</v>
      </c>
      <c r="B117" s="42">
        <f>B44-B115</f>
        <v>-19755.940000000017</v>
      </c>
      <c r="C117" s="42">
        <f>C44-C115</f>
        <v>-13277.39</v>
      </c>
      <c r="D117" s="35">
        <f>B117-C117</f>
        <v>-6478.5500000000175</v>
      </c>
      <c r="E117" s="37">
        <f>B117/C117</f>
        <v>1.4879385180370552</v>
      </c>
    </row>
    <row r="118" spans="1:5" x14ac:dyDescent="0.2">
      <c r="B118" s="38"/>
      <c r="C118" s="38"/>
    </row>
  </sheetData>
  <mergeCells count="1">
    <mergeCell ref="A1:E1"/>
  </mergeCells>
  <pageMargins left="0.75" right="0.75" top="1" bottom="1" header="0.5" footer="0.5"/>
  <pageSetup scale="88" fitToHeight="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workbookViewId="0">
      <selection sqref="A1:E1"/>
    </sheetView>
  </sheetViews>
  <sheetFormatPr defaultRowHeight="12.75" x14ac:dyDescent="0.2"/>
  <cols>
    <col min="1" max="1" width="28.140625" bestFit="1" customWidth="1"/>
    <col min="2" max="2" width="14.5703125" customWidth="1"/>
    <col min="3" max="3" width="14" customWidth="1"/>
    <col min="4" max="4" width="15.85546875" customWidth="1"/>
    <col min="5" max="5" width="16.28515625" customWidth="1"/>
  </cols>
  <sheetData>
    <row r="1" spans="1:5" ht="15.75" x14ac:dyDescent="0.25">
      <c r="A1" s="73" t="s">
        <v>223</v>
      </c>
      <c r="B1" s="74"/>
      <c r="C1" s="74"/>
      <c r="D1" s="74"/>
      <c r="E1" s="74"/>
    </row>
    <row r="2" spans="1:5" x14ac:dyDescent="0.2">
      <c r="B2" s="16"/>
      <c r="C2" s="16"/>
      <c r="D2" s="16"/>
      <c r="E2" s="18"/>
    </row>
    <row r="3" spans="1:5" ht="15" x14ac:dyDescent="0.25">
      <c r="A3" s="20"/>
      <c r="B3" s="21" t="s">
        <v>139</v>
      </c>
      <c r="C3" s="21" t="s">
        <v>12</v>
      </c>
      <c r="D3" s="21" t="s">
        <v>13</v>
      </c>
      <c r="E3" s="22" t="s">
        <v>14</v>
      </c>
    </row>
    <row r="4" spans="1:5" ht="15" x14ac:dyDescent="0.25">
      <c r="A4" s="19" t="s">
        <v>15</v>
      </c>
      <c r="B4" s="23"/>
      <c r="C4" s="23"/>
      <c r="D4" s="23"/>
      <c r="E4" s="24"/>
    </row>
    <row r="5" spans="1:5" ht="15" x14ac:dyDescent="0.25">
      <c r="A5" s="19" t="s">
        <v>16</v>
      </c>
      <c r="B5" s="23"/>
      <c r="C5" s="23"/>
      <c r="D5" s="23"/>
      <c r="E5" s="24"/>
    </row>
    <row r="6" spans="1:5" ht="15" x14ac:dyDescent="0.25">
      <c r="A6" s="19" t="s">
        <v>17</v>
      </c>
      <c r="B6" s="63"/>
      <c r="C6" s="63"/>
      <c r="D6" s="23"/>
      <c r="E6" s="24"/>
    </row>
    <row r="7" spans="1:5" x14ac:dyDescent="0.2">
      <c r="A7" s="11" t="s">
        <v>18</v>
      </c>
      <c r="B7" s="64"/>
      <c r="C7" s="64"/>
      <c r="D7" s="34">
        <f>B7-C7</f>
        <v>0</v>
      </c>
      <c r="E7" s="36"/>
    </row>
    <row r="8" spans="1:5" x14ac:dyDescent="0.2">
      <c r="A8" s="11" t="s">
        <v>19</v>
      </c>
      <c r="B8" s="64"/>
      <c r="C8" s="64"/>
      <c r="D8" s="34">
        <f>B8-C8</f>
        <v>0</v>
      </c>
      <c r="E8" s="36"/>
    </row>
    <row r="9" spans="1:5" x14ac:dyDescent="0.2">
      <c r="A9" s="11" t="s">
        <v>208</v>
      </c>
      <c r="B9" s="64"/>
      <c r="C9" s="64"/>
      <c r="D9" s="34"/>
      <c r="E9" s="36"/>
    </row>
    <row r="10" spans="1:5" x14ac:dyDescent="0.2">
      <c r="A10" s="11" t="s">
        <v>20</v>
      </c>
      <c r="B10" s="64"/>
      <c r="C10" s="64"/>
      <c r="D10" s="34"/>
      <c r="E10" s="36"/>
    </row>
    <row r="11" spans="1:5" x14ac:dyDescent="0.2">
      <c r="A11" s="11" t="s">
        <v>151</v>
      </c>
      <c r="B11" s="64">
        <v>300</v>
      </c>
      <c r="C11" s="64">
        <v>150</v>
      </c>
      <c r="D11" s="34"/>
      <c r="E11" s="36"/>
    </row>
    <row r="12" spans="1:5" x14ac:dyDescent="0.2">
      <c r="A12" s="11" t="s">
        <v>21</v>
      </c>
      <c r="B12" s="64"/>
      <c r="C12" s="64"/>
      <c r="D12" s="34"/>
      <c r="E12" s="36"/>
    </row>
    <row r="13" spans="1:5" x14ac:dyDescent="0.2">
      <c r="A13" s="11" t="s">
        <v>142</v>
      </c>
      <c r="B13" s="64"/>
      <c r="C13" s="64"/>
      <c r="D13" s="34"/>
      <c r="E13" s="36"/>
    </row>
    <row r="14" spans="1:5" x14ac:dyDescent="0.2">
      <c r="A14" s="11" t="s">
        <v>22</v>
      </c>
      <c r="B14" s="64">
        <v>63.2</v>
      </c>
      <c r="C14" s="64">
        <v>100</v>
      </c>
      <c r="D14" s="34">
        <f>B14-C14</f>
        <v>-36.799999999999997</v>
      </c>
      <c r="E14" s="36">
        <f>B14/C14</f>
        <v>0.63200000000000001</v>
      </c>
    </row>
    <row r="15" spans="1:5" x14ac:dyDescent="0.2">
      <c r="A15" s="11" t="s">
        <v>23</v>
      </c>
      <c r="B15" s="64"/>
      <c r="C15" s="64"/>
      <c r="D15" s="34"/>
      <c r="E15" s="36"/>
    </row>
    <row r="16" spans="1:5" x14ac:dyDescent="0.2">
      <c r="A16" s="11" t="s">
        <v>24</v>
      </c>
      <c r="B16" s="42">
        <f>SUM(B12:B15)</f>
        <v>63.2</v>
      </c>
      <c r="C16" s="42">
        <f>SUM(C12:C15)</f>
        <v>100</v>
      </c>
      <c r="D16" s="35">
        <f>B16-C16</f>
        <v>-36.799999999999997</v>
      </c>
      <c r="E16" s="37">
        <f>B16/C16</f>
        <v>0.63200000000000001</v>
      </c>
    </row>
    <row r="17" spans="1:8" x14ac:dyDescent="0.2">
      <c r="A17" s="11" t="s">
        <v>25</v>
      </c>
      <c r="B17" s="64">
        <v>6860</v>
      </c>
      <c r="C17" s="64">
        <v>6900</v>
      </c>
      <c r="D17" s="34">
        <f>B17-C17</f>
        <v>-40</v>
      </c>
      <c r="E17" s="36">
        <f>B17/C17</f>
        <v>0.99420289855072463</v>
      </c>
      <c r="G17" s="25"/>
      <c r="H17" s="25"/>
    </row>
    <row r="18" spans="1:8" x14ac:dyDescent="0.2">
      <c r="A18" s="11" t="s">
        <v>26</v>
      </c>
      <c r="B18" s="64"/>
      <c r="C18" s="64"/>
      <c r="D18" s="34"/>
      <c r="E18" s="36"/>
      <c r="G18" s="25"/>
      <c r="H18" s="25"/>
    </row>
    <row r="19" spans="1:8" s="26" customFormat="1" x14ac:dyDescent="0.2">
      <c r="A19" s="27" t="s">
        <v>27</v>
      </c>
      <c r="B19" s="42">
        <f>B16+B8+B7+B10+B17+B18+B9+B11</f>
        <v>7223.2</v>
      </c>
      <c r="C19" s="42">
        <f>C16+C8+C7+C10+C17+C18+C9+C11</f>
        <v>7150</v>
      </c>
      <c r="D19" s="35">
        <f>B19-C19</f>
        <v>73.199999999999818</v>
      </c>
      <c r="E19" s="37">
        <f>B19/C19</f>
        <v>1.0102377622377623</v>
      </c>
      <c r="F19"/>
      <c r="G19"/>
      <c r="H19"/>
    </row>
    <row r="20" spans="1:8" s="26" customFormat="1" x14ac:dyDescent="0.2">
      <c r="A20" s="27" t="s">
        <v>28</v>
      </c>
      <c r="B20" s="42"/>
      <c r="C20" s="42"/>
      <c r="D20" s="34"/>
      <c r="E20" s="36"/>
      <c r="F20"/>
      <c r="G20"/>
      <c r="H20"/>
    </row>
    <row r="21" spans="1:8" s="26" customFormat="1" x14ac:dyDescent="0.2">
      <c r="A21" s="39" t="s">
        <v>163</v>
      </c>
      <c r="B21" s="54"/>
      <c r="C21" s="54"/>
      <c r="D21" s="34"/>
      <c r="E21" s="36"/>
      <c r="F21"/>
      <c r="G21"/>
      <c r="H21"/>
    </row>
    <row r="22" spans="1:8" s="26" customFormat="1" x14ac:dyDescent="0.2">
      <c r="A22" s="39" t="s">
        <v>152</v>
      </c>
      <c r="B22" s="42"/>
      <c r="C22" s="42"/>
      <c r="D22" s="34"/>
      <c r="E22" s="36"/>
      <c r="F22"/>
      <c r="G22"/>
      <c r="H22"/>
    </row>
    <row r="23" spans="1:8" s="26" customFormat="1" x14ac:dyDescent="0.2">
      <c r="A23" s="39" t="s">
        <v>153</v>
      </c>
      <c r="B23" s="54"/>
      <c r="C23" s="54"/>
      <c r="D23" s="34"/>
      <c r="E23" s="36"/>
      <c r="F23"/>
      <c r="G23"/>
      <c r="H23"/>
    </row>
    <row r="24" spans="1:8" s="26" customFormat="1" x14ac:dyDescent="0.2">
      <c r="A24" s="27" t="s">
        <v>154</v>
      </c>
      <c r="B24" s="42">
        <f>SUM(B23:B23)</f>
        <v>0</v>
      </c>
      <c r="C24" s="42">
        <f>SUM(C23:C23)</f>
        <v>0</v>
      </c>
      <c r="D24" s="35">
        <f>SUM(D23:D23)</f>
        <v>0</v>
      </c>
      <c r="E24" s="36"/>
      <c r="F24"/>
      <c r="G24"/>
      <c r="H24"/>
    </row>
    <row r="25" spans="1:8" x14ac:dyDescent="0.2">
      <c r="A25" s="11" t="s">
        <v>77</v>
      </c>
      <c r="B25" s="64"/>
      <c r="C25" s="64"/>
      <c r="D25" s="34"/>
      <c r="E25" s="36"/>
    </row>
    <row r="26" spans="1:8" x14ac:dyDescent="0.2">
      <c r="A26" s="11" t="s">
        <v>29</v>
      </c>
      <c r="B26" s="64"/>
      <c r="C26" s="64"/>
      <c r="D26" s="34"/>
      <c r="E26" s="36"/>
    </row>
    <row r="27" spans="1:8" x14ac:dyDescent="0.2">
      <c r="A27" s="11" t="s">
        <v>30</v>
      </c>
      <c r="B27" s="64">
        <v>14.42</v>
      </c>
      <c r="C27" s="64">
        <v>12.5</v>
      </c>
      <c r="D27" s="34">
        <f>B27-C27</f>
        <v>1.92</v>
      </c>
      <c r="E27" s="36">
        <f>B27/C27</f>
        <v>1.1536</v>
      </c>
      <c r="G27" s="25"/>
      <c r="H27" s="25"/>
    </row>
    <row r="28" spans="1:8" x14ac:dyDescent="0.2">
      <c r="A28" s="27" t="s">
        <v>31</v>
      </c>
      <c r="B28" s="42">
        <f>SUM(B27)</f>
        <v>14.42</v>
      </c>
      <c r="C28" s="42">
        <f>SUM(C27)</f>
        <v>12.5</v>
      </c>
      <c r="D28" s="35">
        <f>SUM(D27)</f>
        <v>1.92</v>
      </c>
      <c r="E28" s="37">
        <f>B28/C28</f>
        <v>1.1536</v>
      </c>
    </row>
    <row r="29" spans="1:8" x14ac:dyDescent="0.2">
      <c r="A29" s="11" t="s">
        <v>155</v>
      </c>
      <c r="B29" s="64"/>
      <c r="C29" s="64">
        <v>261.60000000000002</v>
      </c>
      <c r="D29" s="34"/>
      <c r="E29" s="36"/>
    </row>
    <row r="30" spans="1:8" s="26" customFormat="1" x14ac:dyDescent="0.2">
      <c r="A30" s="27" t="s">
        <v>32</v>
      </c>
      <c r="B30" s="42">
        <f>B24+B28+B21+B29</f>
        <v>14.42</v>
      </c>
      <c r="C30" s="42">
        <f>C24+C28+C21+C29</f>
        <v>274.10000000000002</v>
      </c>
      <c r="D30" s="34">
        <f>B30-C30</f>
        <v>-259.68</v>
      </c>
      <c r="E30" s="37">
        <f>B30/C30</f>
        <v>5.2608537030280914E-2</v>
      </c>
      <c r="F30"/>
      <c r="G30"/>
      <c r="H30"/>
    </row>
    <row r="31" spans="1:8" s="26" customFormat="1" x14ac:dyDescent="0.2">
      <c r="A31" s="27" t="s">
        <v>156</v>
      </c>
      <c r="B31" s="42">
        <f>B19+B30</f>
        <v>7237.62</v>
      </c>
      <c r="C31" s="42">
        <f>C19+C30</f>
        <v>7424.1</v>
      </c>
      <c r="D31" s="35">
        <f>B31-C31</f>
        <v>-186.48000000000047</v>
      </c>
      <c r="E31" s="37">
        <f>B31/C31</f>
        <v>0.97488180385501266</v>
      </c>
      <c r="F31"/>
      <c r="G31"/>
      <c r="H31"/>
    </row>
    <row r="32" spans="1:8" s="26" customFormat="1" x14ac:dyDescent="0.2">
      <c r="A32" s="27" t="s">
        <v>198</v>
      </c>
      <c r="B32" s="42"/>
      <c r="C32" s="42">
        <v>666.67</v>
      </c>
      <c r="D32" s="42">
        <f>B32-C32</f>
        <v>-666.67</v>
      </c>
      <c r="E32" s="37"/>
      <c r="F32"/>
      <c r="G32"/>
      <c r="H32"/>
    </row>
    <row r="33" spans="1:8" s="26" customFormat="1" x14ac:dyDescent="0.2">
      <c r="A33" s="27" t="s">
        <v>157</v>
      </c>
      <c r="B33" s="42"/>
      <c r="C33" s="42"/>
      <c r="D33" s="34"/>
      <c r="E33" s="36"/>
      <c r="F33"/>
      <c r="G33"/>
      <c r="H33"/>
    </row>
    <row r="34" spans="1:8" s="26" customFormat="1" x14ac:dyDescent="0.2">
      <c r="A34" s="39" t="s">
        <v>158</v>
      </c>
      <c r="B34" s="54"/>
      <c r="C34" s="42"/>
      <c r="D34" s="34"/>
      <c r="E34" s="36"/>
      <c r="F34"/>
      <c r="G34"/>
      <c r="H34"/>
    </row>
    <row r="35" spans="1:8" s="26" customFormat="1" x14ac:dyDescent="0.2">
      <c r="A35" s="39" t="s">
        <v>186</v>
      </c>
      <c r="B35" s="54"/>
      <c r="C35" s="54">
        <v>50</v>
      </c>
      <c r="D35" s="40">
        <f t="shared" ref="D35:D39" si="0">B35-C35</f>
        <v>-50</v>
      </c>
      <c r="E35" s="41">
        <f t="shared" ref="E35:E39" si="1">B35/C35</f>
        <v>0</v>
      </c>
      <c r="F35"/>
      <c r="G35"/>
      <c r="H35"/>
    </row>
    <row r="36" spans="1:8" s="26" customFormat="1" x14ac:dyDescent="0.2">
      <c r="A36" s="39" t="s">
        <v>187</v>
      </c>
      <c r="B36" s="54">
        <v>50</v>
      </c>
      <c r="C36" s="54">
        <v>100</v>
      </c>
      <c r="D36" s="40">
        <f t="shared" si="0"/>
        <v>-50</v>
      </c>
      <c r="E36" s="41">
        <f t="shared" si="1"/>
        <v>0.5</v>
      </c>
      <c r="F36"/>
      <c r="G36"/>
      <c r="H36"/>
    </row>
    <row r="37" spans="1:8" s="26" customFormat="1" x14ac:dyDescent="0.2">
      <c r="A37" s="39" t="s">
        <v>188</v>
      </c>
      <c r="B37" s="54"/>
      <c r="C37" s="54">
        <v>100</v>
      </c>
      <c r="D37" s="40">
        <f t="shared" si="0"/>
        <v>-100</v>
      </c>
      <c r="E37" s="41">
        <f t="shared" si="1"/>
        <v>0</v>
      </c>
      <c r="F37"/>
      <c r="G37"/>
      <c r="H37"/>
    </row>
    <row r="38" spans="1:8" s="26" customFormat="1" x14ac:dyDescent="0.2">
      <c r="A38" s="39" t="s">
        <v>189</v>
      </c>
      <c r="B38" s="54"/>
      <c r="C38" s="54">
        <v>50</v>
      </c>
      <c r="D38" s="40">
        <f t="shared" si="0"/>
        <v>-50</v>
      </c>
      <c r="E38" s="41">
        <f t="shared" si="1"/>
        <v>0</v>
      </c>
      <c r="F38"/>
      <c r="G38"/>
      <c r="H38"/>
    </row>
    <row r="39" spans="1:8" s="26" customFormat="1" x14ac:dyDescent="0.2">
      <c r="A39" s="27" t="s">
        <v>193</v>
      </c>
      <c r="B39" s="54">
        <f>SUM(B35:B38)</f>
        <v>50</v>
      </c>
      <c r="C39" s="54">
        <f>SUM(C35:C38)</f>
        <v>300</v>
      </c>
      <c r="D39" s="40">
        <f t="shared" si="0"/>
        <v>-250</v>
      </c>
      <c r="E39" s="41">
        <f t="shared" si="1"/>
        <v>0.16666666666666666</v>
      </c>
      <c r="F39"/>
      <c r="G39"/>
      <c r="H39"/>
    </row>
    <row r="40" spans="1:8" s="26" customFormat="1" x14ac:dyDescent="0.2">
      <c r="A40" s="39" t="s">
        <v>200</v>
      </c>
      <c r="B40" s="54"/>
      <c r="C40" s="54"/>
      <c r="D40" s="54"/>
      <c r="E40" s="41"/>
      <c r="F40"/>
      <c r="G40"/>
      <c r="H40"/>
    </row>
    <row r="41" spans="1:8" s="26" customFormat="1" x14ac:dyDescent="0.2">
      <c r="A41" s="39" t="s">
        <v>201</v>
      </c>
      <c r="B41" s="54">
        <v>500</v>
      </c>
      <c r="C41" s="54"/>
      <c r="D41" s="54"/>
      <c r="E41" s="41"/>
      <c r="F41"/>
      <c r="G41" s="25"/>
      <c r="H41" s="25"/>
    </row>
    <row r="42" spans="1:8" s="26" customFormat="1" x14ac:dyDescent="0.2">
      <c r="A42" s="27" t="s">
        <v>159</v>
      </c>
      <c r="B42" s="42">
        <f>B39+B34+B40+B41</f>
        <v>550</v>
      </c>
      <c r="C42" s="42">
        <f>C39+C34+C40+C41</f>
        <v>300</v>
      </c>
      <c r="D42" s="40">
        <f t="shared" ref="D42" si="2">B42-C42</f>
        <v>250</v>
      </c>
      <c r="E42" s="41">
        <f t="shared" ref="E42" si="3">B42/C42</f>
        <v>1.8333333333333333</v>
      </c>
      <c r="F42"/>
      <c r="G42"/>
      <c r="H42"/>
    </row>
    <row r="43" spans="1:8" s="26" customFormat="1" x14ac:dyDescent="0.2">
      <c r="A43" s="27" t="s">
        <v>33</v>
      </c>
      <c r="B43" s="42">
        <f>B31+B42+B32</f>
        <v>7787.62</v>
      </c>
      <c r="C43" s="42">
        <f>C31+C42+C32</f>
        <v>8390.77</v>
      </c>
      <c r="D43" s="35">
        <f>B43-C43</f>
        <v>-603.15000000000055</v>
      </c>
      <c r="E43" s="37">
        <f>B43/C43</f>
        <v>0.9281174433335676</v>
      </c>
      <c r="F43"/>
      <c r="G43"/>
      <c r="H43"/>
    </row>
    <row r="44" spans="1:8" x14ac:dyDescent="0.2">
      <c r="A44" s="11"/>
      <c r="B44" s="64"/>
      <c r="C44" s="64"/>
      <c r="D44" s="34"/>
      <c r="E44" s="36"/>
    </row>
    <row r="45" spans="1:8" x14ac:dyDescent="0.2">
      <c r="A45" s="27" t="s">
        <v>34</v>
      </c>
      <c r="B45" s="64"/>
      <c r="C45" s="64"/>
      <c r="D45" s="34"/>
      <c r="E45" s="36"/>
    </row>
    <row r="46" spans="1:8" x14ac:dyDescent="0.2">
      <c r="A46" s="27" t="s">
        <v>35</v>
      </c>
      <c r="B46" s="64"/>
      <c r="C46" s="64"/>
      <c r="D46" s="34"/>
      <c r="E46" s="36"/>
    </row>
    <row r="47" spans="1:8" x14ac:dyDescent="0.2">
      <c r="A47" s="11" t="s">
        <v>36</v>
      </c>
      <c r="B47" s="64">
        <v>160</v>
      </c>
      <c r="C47" s="64">
        <v>170</v>
      </c>
      <c r="D47" s="34">
        <f>B47-C47</f>
        <v>-10</v>
      </c>
      <c r="E47" s="41"/>
    </row>
    <row r="48" spans="1:8" x14ac:dyDescent="0.2">
      <c r="A48" s="11" t="s">
        <v>37</v>
      </c>
      <c r="B48" s="54">
        <f>476.56+3152.97</f>
        <v>3629.5299999999997</v>
      </c>
      <c r="C48" s="64">
        <v>3917</v>
      </c>
      <c r="D48" s="34">
        <f>B48-C48</f>
        <v>-287.47000000000025</v>
      </c>
      <c r="E48" s="41">
        <f>B48/C48</f>
        <v>0.9266096502425325</v>
      </c>
    </row>
    <row r="49" spans="1:8" x14ac:dyDescent="0.2">
      <c r="A49" s="39" t="s">
        <v>203</v>
      </c>
      <c r="B49" s="64">
        <v>291.87</v>
      </c>
      <c r="C49" s="64">
        <v>275</v>
      </c>
      <c r="D49" s="34"/>
      <c r="E49" s="36"/>
      <c r="H49" s="25"/>
    </row>
    <row r="50" spans="1:8" x14ac:dyDescent="0.2">
      <c r="A50" s="11" t="s">
        <v>136</v>
      </c>
      <c r="B50" s="64"/>
      <c r="C50" s="64"/>
      <c r="D50" s="34"/>
      <c r="E50" s="36"/>
    </row>
    <row r="51" spans="1:8" x14ac:dyDescent="0.2">
      <c r="A51" s="11" t="s">
        <v>38</v>
      </c>
      <c r="B51" s="64"/>
      <c r="C51" s="64"/>
      <c r="D51" s="34"/>
      <c r="E51" s="36"/>
    </row>
    <row r="52" spans="1:8" x14ac:dyDescent="0.2">
      <c r="A52" s="11" t="s">
        <v>39</v>
      </c>
      <c r="B52" s="64">
        <v>150</v>
      </c>
      <c r="C52" s="64">
        <v>150</v>
      </c>
      <c r="D52" s="34"/>
      <c r="E52" s="41"/>
    </row>
    <row r="53" spans="1:8" x14ac:dyDescent="0.2">
      <c r="A53" s="11" t="s">
        <v>165</v>
      </c>
      <c r="B53" s="64"/>
      <c r="C53" s="64"/>
      <c r="D53" s="34"/>
      <c r="E53" s="41"/>
      <c r="G53" s="25"/>
    </row>
    <row r="54" spans="1:8" x14ac:dyDescent="0.2">
      <c r="A54" s="11" t="s">
        <v>40</v>
      </c>
      <c r="B54" s="64"/>
      <c r="C54" s="64"/>
      <c r="D54" s="34">
        <f>B54-C54</f>
        <v>0</v>
      </c>
      <c r="E54" s="41"/>
      <c r="G54" s="25"/>
      <c r="H54" s="25"/>
    </row>
    <row r="55" spans="1:8" x14ac:dyDescent="0.2">
      <c r="A55" s="27" t="s">
        <v>41</v>
      </c>
      <c r="B55" s="42">
        <f>SUM(B47:B54)</f>
        <v>4231.3999999999996</v>
      </c>
      <c r="C55" s="42">
        <f>SUM(C47:C54)</f>
        <v>4512</v>
      </c>
      <c r="D55" s="35">
        <f>B55-C55</f>
        <v>-280.60000000000036</v>
      </c>
      <c r="E55" s="37">
        <f>B55/C55</f>
        <v>0.93781028368794317</v>
      </c>
    </row>
    <row r="56" spans="1:8" x14ac:dyDescent="0.2">
      <c r="A56" s="27" t="s">
        <v>42</v>
      </c>
      <c r="B56" s="42"/>
      <c r="C56" s="42"/>
      <c r="D56" s="34"/>
      <c r="E56" s="36"/>
    </row>
    <row r="57" spans="1:8" x14ac:dyDescent="0.2">
      <c r="A57" s="11" t="s">
        <v>43</v>
      </c>
      <c r="B57" s="64">
        <v>500</v>
      </c>
      <c r="C57" s="64">
        <v>500</v>
      </c>
      <c r="D57" s="34">
        <f t="shared" ref="D57:D62" si="4">B57-C57</f>
        <v>0</v>
      </c>
      <c r="E57" s="41">
        <f>B57/C57</f>
        <v>1</v>
      </c>
    </row>
    <row r="58" spans="1:8" x14ac:dyDescent="0.2">
      <c r="A58" s="11" t="s">
        <v>44</v>
      </c>
      <c r="B58" s="64">
        <v>640</v>
      </c>
      <c r="C58" s="64">
        <v>650</v>
      </c>
      <c r="D58" s="34">
        <f t="shared" si="4"/>
        <v>-10</v>
      </c>
      <c r="E58" s="41">
        <f>B58/C58</f>
        <v>0.98461538461538467</v>
      </c>
    </row>
    <row r="59" spans="1:8" x14ac:dyDescent="0.2">
      <c r="A59" s="11" t="s">
        <v>45</v>
      </c>
      <c r="B59" s="64">
        <v>70.680000000000007</v>
      </c>
      <c r="C59" s="64">
        <v>67</v>
      </c>
      <c r="D59" s="34">
        <f t="shared" si="4"/>
        <v>3.6800000000000068</v>
      </c>
      <c r="E59" s="41">
        <f>B59/C59</f>
        <v>1.0549253731343284</v>
      </c>
    </row>
    <row r="60" spans="1:8" x14ac:dyDescent="0.2">
      <c r="A60" s="11" t="s">
        <v>46</v>
      </c>
      <c r="B60" s="64">
        <v>16.53</v>
      </c>
      <c r="C60" s="64">
        <v>14</v>
      </c>
      <c r="D60" s="34">
        <f t="shared" si="4"/>
        <v>2.5300000000000011</v>
      </c>
      <c r="E60" s="41">
        <f>B60/C60</f>
        <v>1.1807142857142858</v>
      </c>
    </row>
    <row r="61" spans="1:8" x14ac:dyDescent="0.2">
      <c r="A61" s="39" t="s">
        <v>202</v>
      </c>
      <c r="B61" s="64"/>
      <c r="C61" s="64"/>
      <c r="D61" s="34">
        <f t="shared" si="4"/>
        <v>0</v>
      </c>
      <c r="E61" s="41"/>
      <c r="H61" s="25"/>
    </row>
    <row r="62" spans="1:8" x14ac:dyDescent="0.2">
      <c r="A62" s="11" t="s">
        <v>137</v>
      </c>
      <c r="B62" s="64"/>
      <c r="C62" s="64"/>
      <c r="D62" s="34">
        <f t="shared" si="4"/>
        <v>0</v>
      </c>
      <c r="E62" s="41"/>
    </row>
    <row r="63" spans="1:8" x14ac:dyDescent="0.2">
      <c r="A63" s="27" t="s">
        <v>47</v>
      </c>
      <c r="B63" s="42">
        <f>SUM(B57:B62)</f>
        <v>1227.21</v>
      </c>
      <c r="C63" s="42">
        <f>SUM(C57:C62)</f>
        <v>1231</v>
      </c>
      <c r="D63" s="35">
        <f>SUM(D57:D62)</f>
        <v>-3.789999999999992</v>
      </c>
      <c r="E63" s="37">
        <f>B63/C63</f>
        <v>0.99692120227457359</v>
      </c>
      <c r="G63" s="25"/>
    </row>
    <row r="64" spans="1:8" x14ac:dyDescent="0.2">
      <c r="A64" s="27" t="s">
        <v>48</v>
      </c>
      <c r="B64" s="42"/>
      <c r="C64" s="42"/>
      <c r="D64" s="34"/>
      <c r="E64" s="36"/>
    </row>
    <row r="65" spans="1:8" x14ac:dyDescent="0.2">
      <c r="A65" s="11" t="s">
        <v>49</v>
      </c>
      <c r="B65" s="64">
        <v>1520</v>
      </c>
      <c r="C65" s="64">
        <v>830</v>
      </c>
      <c r="D65" s="34">
        <f>B65-C65</f>
        <v>690</v>
      </c>
      <c r="E65" s="41">
        <f>B65/C65</f>
        <v>1.8313253012048192</v>
      </c>
    </row>
    <row r="66" spans="1:8" x14ac:dyDescent="0.2">
      <c r="A66" s="11" t="s">
        <v>166</v>
      </c>
      <c r="B66" s="64"/>
      <c r="C66" s="64"/>
      <c r="D66" s="34">
        <f>B66-C66</f>
        <v>0</v>
      </c>
      <c r="E66" s="41"/>
      <c r="G66" s="25"/>
      <c r="H66" s="25"/>
    </row>
    <row r="67" spans="1:8" x14ac:dyDescent="0.2">
      <c r="A67" s="11" t="s">
        <v>50</v>
      </c>
      <c r="B67" s="64"/>
      <c r="C67" s="64"/>
      <c r="D67" s="34">
        <f>B67-C67</f>
        <v>0</v>
      </c>
      <c r="E67" s="41"/>
    </row>
    <row r="68" spans="1:8" x14ac:dyDescent="0.2">
      <c r="A68" s="11" t="s">
        <v>51</v>
      </c>
      <c r="B68" s="64">
        <v>50.92</v>
      </c>
      <c r="C68" s="64">
        <v>250</v>
      </c>
      <c r="D68" s="34">
        <f>B68-C68</f>
        <v>-199.07999999999998</v>
      </c>
      <c r="E68" s="41">
        <f>B68/C68</f>
        <v>0.20368</v>
      </c>
    </row>
    <row r="69" spans="1:8" x14ac:dyDescent="0.2">
      <c r="A69" s="27" t="s">
        <v>52</v>
      </c>
      <c r="B69" s="42">
        <f>SUM(B65:B68)</f>
        <v>1570.92</v>
      </c>
      <c r="C69" s="42">
        <f>SUM(C65:C68)</f>
        <v>1080</v>
      </c>
      <c r="D69" s="35">
        <f>SUM(D65:D68)</f>
        <v>490.92</v>
      </c>
      <c r="E69" s="37">
        <f>B69/C69</f>
        <v>1.4545555555555556</v>
      </c>
    </row>
    <row r="70" spans="1:8" x14ac:dyDescent="0.2">
      <c r="A70" s="27" t="s">
        <v>53</v>
      </c>
      <c r="B70" s="42"/>
      <c r="C70" s="42"/>
      <c r="D70" s="34"/>
      <c r="E70" s="36"/>
    </row>
    <row r="71" spans="1:8" x14ac:dyDescent="0.2">
      <c r="A71" s="11" t="s">
        <v>54</v>
      </c>
      <c r="B71" s="64"/>
      <c r="C71" s="64"/>
      <c r="D71" s="34">
        <f>B71-C71</f>
        <v>0</v>
      </c>
      <c r="E71" s="41"/>
    </row>
    <row r="72" spans="1:8" x14ac:dyDescent="0.2">
      <c r="A72" s="11" t="s">
        <v>55</v>
      </c>
      <c r="B72" s="64"/>
      <c r="C72" s="64">
        <v>100</v>
      </c>
      <c r="D72" s="34">
        <f>B72-C72</f>
        <v>-100</v>
      </c>
      <c r="E72" s="41">
        <f>B72/C72</f>
        <v>0</v>
      </c>
    </row>
    <row r="73" spans="1:8" x14ac:dyDescent="0.2">
      <c r="A73" s="11" t="s">
        <v>56</v>
      </c>
      <c r="B73" s="64"/>
      <c r="C73" s="64"/>
      <c r="D73" s="34">
        <f>B73-C73</f>
        <v>0</v>
      </c>
      <c r="E73" s="41"/>
    </row>
    <row r="74" spans="1:8" x14ac:dyDescent="0.2">
      <c r="A74" s="11" t="s">
        <v>167</v>
      </c>
      <c r="B74" s="64"/>
      <c r="C74" s="64"/>
      <c r="D74" s="34"/>
      <c r="E74" s="36"/>
    </row>
    <row r="75" spans="1:8" x14ac:dyDescent="0.2">
      <c r="A75" s="11" t="s">
        <v>168</v>
      </c>
      <c r="B75" s="64">
        <v>0</v>
      </c>
      <c r="C75" s="64"/>
      <c r="D75" s="34">
        <f>B75-C75</f>
        <v>0</v>
      </c>
      <c r="E75" s="41"/>
    </row>
    <row r="76" spans="1:8" x14ac:dyDescent="0.2">
      <c r="A76" s="11" t="s">
        <v>210</v>
      </c>
      <c r="B76" s="64">
        <v>420</v>
      </c>
      <c r="C76" s="64">
        <v>500</v>
      </c>
      <c r="D76" s="34">
        <f>B76-C76</f>
        <v>-80</v>
      </c>
      <c r="E76" s="41"/>
    </row>
    <row r="77" spans="1:8" x14ac:dyDescent="0.2">
      <c r="A77" s="11" t="s">
        <v>169</v>
      </c>
      <c r="B77" s="64"/>
      <c r="C77" s="64"/>
      <c r="D77" s="34"/>
      <c r="E77" s="36"/>
    </row>
    <row r="78" spans="1:8" x14ac:dyDescent="0.2">
      <c r="A78" s="11" t="s">
        <v>170</v>
      </c>
      <c r="B78" s="64">
        <f>SUM(B75:B77)</f>
        <v>420</v>
      </c>
      <c r="C78" s="64">
        <f>SUM(C75:C77)</f>
        <v>500</v>
      </c>
      <c r="D78" s="34">
        <f>B78-C78</f>
        <v>-80</v>
      </c>
      <c r="E78" s="41"/>
    </row>
    <row r="79" spans="1:8" x14ac:dyDescent="0.2">
      <c r="A79" s="11" t="s">
        <v>57</v>
      </c>
      <c r="B79" s="64"/>
      <c r="C79" s="64"/>
      <c r="D79" s="34">
        <f>B79-C79</f>
        <v>0</v>
      </c>
      <c r="E79" s="41"/>
    </row>
    <row r="80" spans="1:8" x14ac:dyDescent="0.2">
      <c r="A80" s="11" t="s">
        <v>58</v>
      </c>
      <c r="B80" s="64"/>
      <c r="C80" s="64">
        <v>0</v>
      </c>
      <c r="D80" s="34">
        <f>B80-C80</f>
        <v>0</v>
      </c>
      <c r="E80" s="41"/>
    </row>
    <row r="81" spans="1:8" x14ac:dyDescent="0.2">
      <c r="A81" t="s">
        <v>190</v>
      </c>
      <c r="B81" s="64">
        <v>255.44</v>
      </c>
      <c r="C81" s="64">
        <v>200</v>
      </c>
      <c r="D81" s="34">
        <f t="shared" ref="D81:D82" si="5">B81-C81</f>
        <v>55.44</v>
      </c>
      <c r="E81" s="41">
        <f t="shared" ref="E81:E82" si="6">B81/C81</f>
        <v>1.2771999999999999</v>
      </c>
    </row>
    <row r="82" spans="1:8" x14ac:dyDescent="0.2">
      <c r="A82" s="39" t="s">
        <v>191</v>
      </c>
      <c r="B82" s="64">
        <f>SUM(B80:B81)</f>
        <v>255.44</v>
      </c>
      <c r="C82" s="64">
        <f>SUM(C80:C81)</f>
        <v>200</v>
      </c>
      <c r="D82" s="34">
        <f t="shared" si="5"/>
        <v>55.44</v>
      </c>
      <c r="E82" s="41">
        <f t="shared" si="6"/>
        <v>1.2771999999999999</v>
      </c>
    </row>
    <row r="83" spans="1:8" x14ac:dyDescent="0.2">
      <c r="A83" s="11" t="s">
        <v>59</v>
      </c>
      <c r="B83" s="64"/>
      <c r="C83" s="64"/>
      <c r="D83" s="34">
        <f>B83-C83</f>
        <v>0</v>
      </c>
      <c r="E83" s="41"/>
    </row>
    <row r="84" spans="1:8" x14ac:dyDescent="0.2">
      <c r="A84" s="11" t="s">
        <v>60</v>
      </c>
      <c r="B84" s="64"/>
      <c r="C84" s="64"/>
      <c r="D84" s="34"/>
      <c r="E84" s="41"/>
    </row>
    <row r="85" spans="1:8" x14ac:dyDescent="0.2">
      <c r="A85" s="39" t="s">
        <v>199</v>
      </c>
      <c r="B85" s="64">
        <v>40</v>
      </c>
      <c r="C85" s="64">
        <v>54</v>
      </c>
      <c r="D85" s="34">
        <f>B85-C85</f>
        <v>-14</v>
      </c>
      <c r="E85" s="41">
        <f t="shared" ref="E85:E90" si="7">B85/C85</f>
        <v>0.7407407407407407</v>
      </c>
    </row>
    <row r="86" spans="1:8" x14ac:dyDescent="0.2">
      <c r="A86" s="11" t="s">
        <v>61</v>
      </c>
      <c r="B86" s="64">
        <v>0</v>
      </c>
      <c r="C86" s="64">
        <v>20</v>
      </c>
      <c r="D86" s="34">
        <f>B86-C86</f>
        <v>-20</v>
      </c>
      <c r="E86" s="41">
        <f t="shared" si="7"/>
        <v>0</v>
      </c>
    </row>
    <row r="87" spans="1:8" x14ac:dyDescent="0.2">
      <c r="A87" s="11" t="s">
        <v>62</v>
      </c>
      <c r="B87" s="64">
        <v>39.68</v>
      </c>
      <c r="C87" s="64">
        <v>25</v>
      </c>
      <c r="D87" s="34">
        <f>B87-C87</f>
        <v>14.68</v>
      </c>
      <c r="E87" s="41">
        <f t="shared" si="7"/>
        <v>1.5871999999999999</v>
      </c>
      <c r="H87" s="25"/>
    </row>
    <row r="88" spans="1:8" x14ac:dyDescent="0.2">
      <c r="A88" s="11" t="s">
        <v>63</v>
      </c>
      <c r="B88" s="64">
        <f>SUM(B85:B87)</f>
        <v>79.680000000000007</v>
      </c>
      <c r="C88" s="64">
        <f>SUM(C85:C87)</f>
        <v>99</v>
      </c>
      <c r="D88" s="34">
        <f>B88-C88</f>
        <v>-19.319999999999993</v>
      </c>
      <c r="E88" s="41">
        <f t="shared" si="7"/>
        <v>0.80484848484848492</v>
      </c>
    </row>
    <row r="89" spans="1:8" x14ac:dyDescent="0.2">
      <c r="A89" s="11" t="s">
        <v>64</v>
      </c>
      <c r="B89" s="64">
        <v>70.83</v>
      </c>
      <c r="C89" s="64">
        <v>140</v>
      </c>
      <c r="D89" s="34">
        <f>B89-C89</f>
        <v>-69.17</v>
      </c>
      <c r="E89" s="41">
        <f t="shared" si="7"/>
        <v>0.50592857142857139</v>
      </c>
    </row>
    <row r="90" spans="1:8" x14ac:dyDescent="0.2">
      <c r="A90" s="27" t="s">
        <v>65</v>
      </c>
      <c r="B90" s="42">
        <f>B89+B88+B83+B82+B79+B78+B73+B72+B71</f>
        <v>825.95</v>
      </c>
      <c r="C90" s="42">
        <f>C89+C88+C83+C82+C79+C78+C73+C72+C71</f>
        <v>1039</v>
      </c>
      <c r="D90" s="35">
        <f>D89+D88+D83+D80+D79+D78+D73+D72+D71</f>
        <v>-268.49</v>
      </c>
      <c r="E90" s="37">
        <f t="shared" si="7"/>
        <v>0.7949470644850819</v>
      </c>
    </row>
    <row r="91" spans="1:8" x14ac:dyDescent="0.2">
      <c r="A91" s="27" t="s">
        <v>66</v>
      </c>
      <c r="B91" s="42"/>
      <c r="C91" s="42"/>
      <c r="D91" s="34"/>
      <c r="E91" s="36"/>
    </row>
    <row r="92" spans="1:8" x14ac:dyDescent="0.2">
      <c r="A92" s="11" t="s">
        <v>67</v>
      </c>
      <c r="B92" s="64"/>
      <c r="C92" s="64"/>
      <c r="D92" s="34">
        <f>B92-C92</f>
        <v>0</v>
      </c>
      <c r="E92" s="41"/>
    </row>
    <row r="93" spans="1:8" x14ac:dyDescent="0.2">
      <c r="A93" s="11" t="s">
        <v>68</v>
      </c>
      <c r="B93" s="64"/>
      <c r="C93" s="64"/>
      <c r="D93" s="34">
        <f>B93-C93</f>
        <v>0</v>
      </c>
      <c r="E93" s="41"/>
    </row>
    <row r="94" spans="1:8" x14ac:dyDescent="0.2">
      <c r="A94" s="39" t="s">
        <v>192</v>
      </c>
      <c r="B94" s="64"/>
      <c r="C94" s="64"/>
      <c r="D94" s="34">
        <f>B94-C94</f>
        <v>0</v>
      </c>
      <c r="E94" s="41"/>
    </row>
    <row r="95" spans="1:8" x14ac:dyDescent="0.2">
      <c r="A95" s="27" t="s">
        <v>69</v>
      </c>
      <c r="B95" s="42">
        <f>SUM(B92:B94)</f>
        <v>0</v>
      </c>
      <c r="C95" s="42">
        <f>SUM(C92:C94)</f>
        <v>0</v>
      </c>
      <c r="D95" s="35">
        <f>B95-C95</f>
        <v>0</v>
      </c>
      <c r="E95" s="37"/>
    </row>
    <row r="96" spans="1:8" x14ac:dyDescent="0.2">
      <c r="A96" s="27" t="s">
        <v>70</v>
      </c>
      <c r="B96" s="42">
        <v>916.66</v>
      </c>
      <c r="C96" s="42">
        <v>916.67</v>
      </c>
      <c r="D96" s="35">
        <f>B96-C96</f>
        <v>-9.9999999999909051E-3</v>
      </c>
      <c r="E96" s="37">
        <f>B96/C96</f>
        <v>0.99998909094876021</v>
      </c>
    </row>
    <row r="97" spans="1:8" x14ac:dyDescent="0.2">
      <c r="A97" s="27" t="s">
        <v>71</v>
      </c>
      <c r="B97" s="42"/>
      <c r="C97" s="42"/>
      <c r="D97" s="34"/>
      <c r="E97" s="36"/>
      <c r="G97" s="25"/>
      <c r="H97" s="25"/>
    </row>
    <row r="98" spans="1:8" x14ac:dyDescent="0.2">
      <c r="A98" s="11" t="s">
        <v>72</v>
      </c>
      <c r="B98" s="64">
        <v>450</v>
      </c>
      <c r="C98" s="64">
        <v>250</v>
      </c>
      <c r="D98" s="34">
        <f t="shared" ref="D98:D104" si="8">B98-C98</f>
        <v>200</v>
      </c>
      <c r="E98" s="41">
        <f>B98/C98</f>
        <v>1.8</v>
      </c>
    </row>
    <row r="99" spans="1:8" x14ac:dyDescent="0.2">
      <c r="A99" s="11" t="s">
        <v>160</v>
      </c>
      <c r="B99" s="64">
        <v>34</v>
      </c>
      <c r="C99" s="64">
        <v>50</v>
      </c>
      <c r="D99" s="34">
        <f t="shared" si="8"/>
        <v>-16</v>
      </c>
      <c r="E99" s="41">
        <f>B99/C99</f>
        <v>0.68</v>
      </c>
    </row>
    <row r="100" spans="1:8" x14ac:dyDescent="0.2">
      <c r="A100" s="39" t="s">
        <v>207</v>
      </c>
      <c r="B100" s="64"/>
      <c r="C100" s="64"/>
      <c r="D100" s="34">
        <f t="shared" ref="D100" si="9">B100-C100</f>
        <v>0</v>
      </c>
      <c r="E100" s="41"/>
    </row>
    <row r="101" spans="1:8" x14ac:dyDescent="0.2">
      <c r="A101" s="11" t="s">
        <v>73</v>
      </c>
      <c r="B101" s="64"/>
      <c r="C101" s="64"/>
      <c r="D101" s="34">
        <f t="shared" si="8"/>
        <v>0</v>
      </c>
      <c r="E101" s="41"/>
    </row>
    <row r="102" spans="1:8" x14ac:dyDescent="0.2">
      <c r="A102" s="11" t="s">
        <v>74</v>
      </c>
      <c r="B102" s="64"/>
      <c r="C102" s="64"/>
      <c r="D102" s="34">
        <f t="shared" si="8"/>
        <v>0</v>
      </c>
      <c r="E102" s="41"/>
    </row>
    <row r="103" spans="1:8" x14ac:dyDescent="0.2">
      <c r="A103" s="27" t="s">
        <v>75</v>
      </c>
      <c r="B103" s="42">
        <f>SUM(B98:B102)</f>
        <v>484</v>
      </c>
      <c r="C103" s="42">
        <f>SUM(C98:C102)</f>
        <v>300</v>
      </c>
      <c r="D103" s="35">
        <f t="shared" si="8"/>
        <v>184</v>
      </c>
      <c r="E103" s="37">
        <f>B103/C103</f>
        <v>1.6133333333333333</v>
      </c>
    </row>
    <row r="104" spans="1:8" x14ac:dyDescent="0.2">
      <c r="A104" s="27" t="s">
        <v>161</v>
      </c>
      <c r="B104" s="42">
        <f>B103+B96+B95+B90+B69+B63+B55</f>
        <v>9256.14</v>
      </c>
      <c r="C104" s="42">
        <f>C103+C96+C95+C90+C69+C63+C55</f>
        <v>9078.67</v>
      </c>
      <c r="D104" s="35">
        <f t="shared" si="8"/>
        <v>177.46999999999935</v>
      </c>
      <c r="E104" s="37">
        <v>1.153</v>
      </c>
    </row>
    <row r="105" spans="1:8" x14ac:dyDescent="0.2">
      <c r="A105" s="27" t="s">
        <v>162</v>
      </c>
      <c r="B105" s="42"/>
      <c r="C105" s="64"/>
      <c r="D105" s="11"/>
      <c r="E105" s="11"/>
    </row>
    <row r="106" spans="1:8" x14ac:dyDescent="0.2">
      <c r="A106" s="11" t="s">
        <v>204</v>
      </c>
      <c r="B106" s="54"/>
      <c r="C106" s="54"/>
      <c r="D106" s="11"/>
      <c r="E106" s="11"/>
    </row>
    <row r="107" spans="1:8" x14ac:dyDescent="0.2">
      <c r="A107" s="11" t="s">
        <v>186</v>
      </c>
      <c r="B107" s="54"/>
      <c r="C107" s="54">
        <v>50</v>
      </c>
      <c r="D107" s="34">
        <f t="shared" ref="D107:D112" si="10">B107-C107</f>
        <v>-50</v>
      </c>
      <c r="E107" s="41">
        <f t="shared" ref="E107:E112" si="11">B107/C107</f>
        <v>0</v>
      </c>
    </row>
    <row r="108" spans="1:8" x14ac:dyDescent="0.2">
      <c r="A108" s="11" t="s">
        <v>187</v>
      </c>
      <c r="B108" s="54"/>
      <c r="C108" s="54">
        <v>100</v>
      </c>
      <c r="D108" s="34">
        <f t="shared" si="10"/>
        <v>-100</v>
      </c>
      <c r="E108" s="41">
        <f t="shared" si="11"/>
        <v>0</v>
      </c>
    </row>
    <row r="109" spans="1:8" x14ac:dyDescent="0.2">
      <c r="A109" s="11" t="s">
        <v>188</v>
      </c>
      <c r="B109" s="54"/>
      <c r="C109" s="54">
        <v>100</v>
      </c>
      <c r="D109" s="34">
        <f t="shared" si="10"/>
        <v>-100</v>
      </c>
      <c r="E109" s="41">
        <f t="shared" si="11"/>
        <v>0</v>
      </c>
    </row>
    <row r="110" spans="1:8" x14ac:dyDescent="0.2">
      <c r="A110" s="11" t="s">
        <v>189</v>
      </c>
      <c r="B110" s="54"/>
      <c r="C110" s="54">
        <v>50</v>
      </c>
      <c r="D110" s="34">
        <f t="shared" si="10"/>
        <v>-50</v>
      </c>
      <c r="E110" s="41">
        <f t="shared" si="11"/>
        <v>0</v>
      </c>
      <c r="G110" s="25"/>
      <c r="H110" s="25"/>
    </row>
    <row r="111" spans="1:8" x14ac:dyDescent="0.2">
      <c r="A111" s="39" t="s">
        <v>194</v>
      </c>
      <c r="B111" s="54">
        <f>SUM(B107:B110)</f>
        <v>0</v>
      </c>
      <c r="C111" s="54">
        <f>SUM(C107:C110)</f>
        <v>300</v>
      </c>
      <c r="D111" s="34">
        <f t="shared" si="10"/>
        <v>-300</v>
      </c>
      <c r="E111" s="41">
        <f t="shared" si="11"/>
        <v>0</v>
      </c>
      <c r="G111" s="25"/>
    </row>
    <row r="112" spans="1:8" x14ac:dyDescent="0.2">
      <c r="A112" s="27" t="s">
        <v>195</v>
      </c>
      <c r="B112" s="54">
        <f>B111+B106</f>
        <v>0</v>
      </c>
      <c r="C112" s="54">
        <f>C111+C106</f>
        <v>300</v>
      </c>
      <c r="D112" s="34">
        <f t="shared" si="10"/>
        <v>-300</v>
      </c>
      <c r="E112" s="41">
        <f t="shared" si="11"/>
        <v>0</v>
      </c>
    </row>
    <row r="113" spans="1:5" x14ac:dyDescent="0.2">
      <c r="A113" s="27" t="s">
        <v>0</v>
      </c>
      <c r="B113" s="42">
        <f>B104+B112</f>
        <v>9256.14</v>
      </c>
      <c r="C113" s="42">
        <f>C104+C112</f>
        <v>9378.67</v>
      </c>
      <c r="D113" s="35">
        <f>B113-C113</f>
        <v>-122.53000000000065</v>
      </c>
      <c r="E113" s="37">
        <v>1.153</v>
      </c>
    </row>
    <row r="114" spans="1:5" x14ac:dyDescent="0.2">
      <c r="A114" s="27"/>
      <c r="B114" s="42"/>
      <c r="C114" s="42"/>
      <c r="D114" s="34"/>
      <c r="E114" s="36"/>
    </row>
    <row r="115" spans="1:5" x14ac:dyDescent="0.2">
      <c r="A115" s="27" t="s">
        <v>76</v>
      </c>
      <c r="B115" s="42">
        <f>B43-B113</f>
        <v>-1468.5199999999995</v>
      </c>
      <c r="C115" s="42">
        <f>C43-C113</f>
        <v>-987.89999999999964</v>
      </c>
      <c r="D115" s="35">
        <f>B115-C115</f>
        <v>-480.61999999999989</v>
      </c>
      <c r="E115" s="37">
        <f>B115/C115</f>
        <v>1.4865067314505518</v>
      </c>
    </row>
    <row r="116" spans="1:5" x14ac:dyDescent="0.2">
      <c r="B116" s="38"/>
      <c r="C116" s="38"/>
    </row>
  </sheetData>
  <mergeCells count="1">
    <mergeCell ref="A1:E1"/>
  </mergeCells>
  <phoneticPr fontId="0" type="noConversion"/>
  <pageMargins left="0.75" right="0.75" top="1" bottom="1" header="0.5" footer="0.5"/>
  <pageSetup scale="89" fitToHeight="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B16" sqref="B16"/>
    </sheetView>
  </sheetViews>
  <sheetFormatPr defaultRowHeight="12.75" x14ac:dyDescent="0.2"/>
  <cols>
    <col min="1" max="1" width="32.140625" customWidth="1"/>
    <col min="2" max="2" width="18.42578125" style="16" customWidth="1"/>
    <col min="3" max="3" width="19.42578125" style="16" customWidth="1"/>
    <col min="4" max="4" width="18.28515625" customWidth="1"/>
  </cols>
  <sheetData>
    <row r="1" spans="1:4" ht="15.75" x14ac:dyDescent="0.25">
      <c r="A1" s="75" t="s">
        <v>148</v>
      </c>
      <c r="B1" s="75"/>
      <c r="C1" s="75"/>
    </row>
    <row r="2" spans="1:4" ht="15.75" x14ac:dyDescent="0.25">
      <c r="A2" s="6"/>
      <c r="B2" s="17"/>
      <c r="C2" s="17"/>
    </row>
    <row r="3" spans="1:4" ht="15" x14ac:dyDescent="0.25">
      <c r="A3" s="19"/>
      <c r="B3" s="21" t="s">
        <v>150</v>
      </c>
      <c r="C3" s="21" t="s">
        <v>145</v>
      </c>
    </row>
    <row r="4" spans="1:4" ht="15" x14ac:dyDescent="0.25">
      <c r="A4" s="19" t="s">
        <v>78</v>
      </c>
      <c r="B4" s="30"/>
      <c r="C4" s="30"/>
    </row>
    <row r="5" spans="1:4" ht="15" x14ac:dyDescent="0.25">
      <c r="A5" s="19" t="s">
        <v>79</v>
      </c>
      <c r="B5" s="30"/>
      <c r="C5" s="30"/>
    </row>
    <row r="6" spans="1:4" ht="15" x14ac:dyDescent="0.25">
      <c r="A6" s="19" t="s">
        <v>80</v>
      </c>
      <c r="B6" s="30"/>
      <c r="C6" s="30"/>
    </row>
    <row r="7" spans="1:4" x14ac:dyDescent="0.2">
      <c r="A7" s="11" t="s">
        <v>81</v>
      </c>
      <c r="B7" s="32">
        <v>18812.09</v>
      </c>
      <c r="C7" s="28">
        <v>15615.95</v>
      </c>
      <c r="D7" s="25">
        <f t="shared" ref="D7:D12" si="0">B7-C7</f>
        <v>3196.1399999999994</v>
      </c>
    </row>
    <row r="8" spans="1:4" x14ac:dyDescent="0.2">
      <c r="A8" s="11" t="s">
        <v>82</v>
      </c>
      <c r="B8" s="32">
        <v>3371.98</v>
      </c>
      <c r="C8" s="28">
        <v>8418.89</v>
      </c>
      <c r="D8" s="25">
        <f t="shared" si="0"/>
        <v>-5046.91</v>
      </c>
    </row>
    <row r="9" spans="1:4" x14ac:dyDescent="0.2">
      <c r="A9" s="11" t="s">
        <v>83</v>
      </c>
      <c r="B9" s="32">
        <v>33050.050000000003</v>
      </c>
      <c r="C9" s="28">
        <v>53830.48</v>
      </c>
      <c r="D9" s="25">
        <f t="shared" si="0"/>
        <v>-20780.43</v>
      </c>
    </row>
    <row r="10" spans="1:4" x14ac:dyDescent="0.2">
      <c r="A10" s="11" t="s">
        <v>84</v>
      </c>
      <c r="B10" s="32">
        <v>55234.12</v>
      </c>
      <c r="C10" s="28">
        <v>77865.320000000007</v>
      </c>
      <c r="D10" s="25">
        <f t="shared" si="0"/>
        <v>-22631.200000000004</v>
      </c>
    </row>
    <row r="11" spans="1:4" x14ac:dyDescent="0.2">
      <c r="A11" s="11" t="s">
        <v>85</v>
      </c>
      <c r="B11" s="32">
        <v>55234.12</v>
      </c>
      <c r="C11" s="28">
        <v>77865.320000000007</v>
      </c>
      <c r="D11" s="25">
        <f t="shared" si="0"/>
        <v>-22631.200000000004</v>
      </c>
    </row>
    <row r="12" spans="1:4" ht="15" x14ac:dyDescent="0.25">
      <c r="A12" s="19" t="s">
        <v>86</v>
      </c>
      <c r="B12" s="33">
        <v>55234.12</v>
      </c>
      <c r="C12" s="30">
        <v>77865.320000000007</v>
      </c>
      <c r="D12" s="25">
        <f t="shared" si="0"/>
        <v>-22631.200000000004</v>
      </c>
    </row>
    <row r="13" spans="1:4" ht="15" x14ac:dyDescent="0.25">
      <c r="A13" s="19"/>
      <c r="B13" s="30"/>
      <c r="C13" s="30"/>
      <c r="D13" s="25"/>
    </row>
    <row r="14" spans="1:4" ht="15" x14ac:dyDescent="0.25">
      <c r="A14" s="19" t="s">
        <v>87</v>
      </c>
      <c r="B14" s="30"/>
      <c r="C14" s="30"/>
      <c r="D14" s="25"/>
    </row>
    <row r="15" spans="1:4" ht="15" x14ac:dyDescent="0.25">
      <c r="A15" s="19" t="s">
        <v>88</v>
      </c>
      <c r="B15" s="28"/>
      <c r="C15" s="28"/>
      <c r="D15" s="25"/>
    </row>
    <row r="16" spans="1:4" ht="15" x14ac:dyDescent="0.25">
      <c r="A16" s="19" t="s">
        <v>89</v>
      </c>
      <c r="B16" s="28"/>
      <c r="C16" s="28"/>
      <c r="D16" s="25"/>
    </row>
    <row r="17" spans="1:4" x14ac:dyDescent="0.2">
      <c r="A17" s="11" t="s">
        <v>117</v>
      </c>
      <c r="B17" s="28"/>
      <c r="C17" s="28"/>
      <c r="D17" s="25"/>
    </row>
    <row r="18" spans="1:4" x14ac:dyDescent="0.2">
      <c r="A18" s="11" t="s">
        <v>118</v>
      </c>
      <c r="B18" s="28"/>
      <c r="C18" s="28"/>
      <c r="D18" s="25"/>
    </row>
    <row r="19" spans="1:4" x14ac:dyDescent="0.2">
      <c r="A19" s="11" t="s">
        <v>143</v>
      </c>
      <c r="B19" s="28"/>
      <c r="C19" s="28"/>
      <c r="D19" s="25"/>
    </row>
    <row r="20" spans="1:4" x14ac:dyDescent="0.2">
      <c r="A20" s="11" t="s">
        <v>119</v>
      </c>
      <c r="B20" s="28"/>
      <c r="C20" s="28"/>
      <c r="D20" s="25"/>
    </row>
    <row r="21" spans="1:4" x14ac:dyDescent="0.2">
      <c r="A21" s="11" t="s">
        <v>144</v>
      </c>
      <c r="B21" s="28"/>
      <c r="C21" s="28">
        <v>465.98</v>
      </c>
      <c r="D21" s="25">
        <f t="shared" ref="D21:D55" si="1">B21-C21</f>
        <v>-465.98</v>
      </c>
    </row>
    <row r="22" spans="1:4" x14ac:dyDescent="0.2">
      <c r="A22" s="11" t="s">
        <v>120</v>
      </c>
      <c r="B22" s="28"/>
      <c r="C22" s="28">
        <v>465.98</v>
      </c>
      <c r="D22" s="25">
        <f t="shared" si="1"/>
        <v>-465.98</v>
      </c>
    </row>
    <row r="23" spans="1:4" x14ac:dyDescent="0.2">
      <c r="A23" s="11" t="s">
        <v>121</v>
      </c>
      <c r="B23" s="28"/>
      <c r="C23" s="28">
        <v>465.98</v>
      </c>
      <c r="D23" s="25">
        <f t="shared" si="1"/>
        <v>-465.98</v>
      </c>
    </row>
    <row r="24" spans="1:4" ht="15" x14ac:dyDescent="0.25">
      <c r="A24" s="19" t="s">
        <v>90</v>
      </c>
      <c r="B24" s="30">
        <v>0</v>
      </c>
      <c r="C24" s="30">
        <v>465.98</v>
      </c>
      <c r="D24" s="25">
        <f t="shared" si="1"/>
        <v>-465.98</v>
      </c>
    </row>
    <row r="25" spans="1:4" ht="15" x14ac:dyDescent="0.25">
      <c r="A25" s="19" t="s">
        <v>91</v>
      </c>
      <c r="B25" s="30">
        <v>0</v>
      </c>
      <c r="C25" s="30">
        <v>465.98</v>
      </c>
      <c r="D25" s="25">
        <f t="shared" si="1"/>
        <v>-465.98</v>
      </c>
    </row>
    <row r="26" spans="1:4" x14ac:dyDescent="0.2">
      <c r="A26" s="11" t="s">
        <v>92</v>
      </c>
      <c r="B26" s="28"/>
      <c r="C26" s="29"/>
      <c r="D26" s="25">
        <f t="shared" si="1"/>
        <v>0</v>
      </c>
    </row>
    <row r="27" spans="1:4" x14ac:dyDescent="0.2">
      <c r="A27" s="11" t="s">
        <v>141</v>
      </c>
      <c r="B27" s="28">
        <v>0</v>
      </c>
      <c r="C27" s="28">
        <v>5000</v>
      </c>
      <c r="D27" s="25">
        <f t="shared" si="1"/>
        <v>-5000</v>
      </c>
    </row>
    <row r="28" spans="1:4" x14ac:dyDescent="0.2">
      <c r="A28" s="11" t="s">
        <v>93</v>
      </c>
      <c r="B28" s="28"/>
      <c r="C28" s="28"/>
      <c r="D28" s="25">
        <f t="shared" si="1"/>
        <v>0</v>
      </c>
    </row>
    <row r="29" spans="1:4" x14ac:dyDescent="0.2">
      <c r="A29" s="11" t="s">
        <v>94</v>
      </c>
      <c r="B29" s="28"/>
      <c r="C29" s="28"/>
      <c r="D29" s="25">
        <f t="shared" si="1"/>
        <v>0</v>
      </c>
    </row>
    <row r="30" spans="1:4" x14ac:dyDescent="0.2">
      <c r="A30" s="11" t="s">
        <v>95</v>
      </c>
      <c r="B30" s="28">
        <v>405</v>
      </c>
      <c r="C30" s="28">
        <v>405</v>
      </c>
      <c r="D30" s="25">
        <f t="shared" si="1"/>
        <v>0</v>
      </c>
    </row>
    <row r="31" spans="1:4" x14ac:dyDescent="0.2">
      <c r="A31" s="11" t="s">
        <v>96</v>
      </c>
      <c r="B31" s="28">
        <v>4539</v>
      </c>
      <c r="C31" s="28">
        <v>4539</v>
      </c>
      <c r="D31" s="25">
        <f t="shared" si="1"/>
        <v>0</v>
      </c>
    </row>
    <row r="32" spans="1:4" x14ac:dyDescent="0.2">
      <c r="A32" s="11" t="s">
        <v>146</v>
      </c>
      <c r="B32" s="28">
        <v>12430</v>
      </c>
      <c r="C32" s="28">
        <v>0</v>
      </c>
      <c r="D32" s="25">
        <f t="shared" si="1"/>
        <v>12430</v>
      </c>
    </row>
    <row r="33" spans="1:4" x14ac:dyDescent="0.2">
      <c r="A33" s="11" t="s">
        <v>115</v>
      </c>
      <c r="B33" s="28">
        <v>15000</v>
      </c>
      <c r="C33" s="28">
        <v>20000</v>
      </c>
      <c r="D33" s="25">
        <f t="shared" si="1"/>
        <v>-5000</v>
      </c>
    </row>
    <row r="34" spans="1:4" x14ac:dyDescent="0.2">
      <c r="A34" s="11" t="s">
        <v>97</v>
      </c>
      <c r="B34" s="28">
        <v>1320.98</v>
      </c>
      <c r="C34" s="28">
        <v>1320.98</v>
      </c>
      <c r="D34" s="25">
        <f t="shared" si="1"/>
        <v>0</v>
      </c>
    </row>
    <row r="35" spans="1:4" x14ac:dyDescent="0.2">
      <c r="A35" s="11" t="s">
        <v>98</v>
      </c>
      <c r="B35" s="28">
        <v>720</v>
      </c>
      <c r="C35" s="28">
        <v>720</v>
      </c>
      <c r="D35" s="25">
        <f t="shared" si="1"/>
        <v>0</v>
      </c>
    </row>
    <row r="36" spans="1:4" x14ac:dyDescent="0.2">
      <c r="A36" s="11" t="s">
        <v>99</v>
      </c>
      <c r="B36" s="28">
        <v>1635</v>
      </c>
      <c r="C36" s="28">
        <v>1635</v>
      </c>
      <c r="D36" s="25">
        <f t="shared" si="1"/>
        <v>0</v>
      </c>
    </row>
    <row r="37" spans="1:4" x14ac:dyDescent="0.2">
      <c r="A37" s="11" t="s">
        <v>100</v>
      </c>
      <c r="B37" s="28">
        <v>17280.62</v>
      </c>
      <c r="C37" s="28">
        <v>29280.62</v>
      </c>
      <c r="D37" s="25">
        <f t="shared" si="1"/>
        <v>-12000</v>
      </c>
    </row>
    <row r="38" spans="1:4" ht="15" x14ac:dyDescent="0.25">
      <c r="A38" s="19" t="s">
        <v>101</v>
      </c>
      <c r="B38" s="30">
        <v>53330.6</v>
      </c>
      <c r="C38" s="29">
        <v>57900.6</v>
      </c>
      <c r="D38" s="25">
        <f t="shared" si="1"/>
        <v>-4570</v>
      </c>
    </row>
    <row r="39" spans="1:4" x14ac:dyDescent="0.2">
      <c r="A39" s="11" t="s">
        <v>149</v>
      </c>
      <c r="B39" s="28"/>
      <c r="C39" s="31">
        <v>0</v>
      </c>
      <c r="D39" s="25">
        <f t="shared" si="1"/>
        <v>0</v>
      </c>
    </row>
    <row r="40" spans="1:4" x14ac:dyDescent="0.2">
      <c r="A40" s="11" t="s">
        <v>102</v>
      </c>
      <c r="B40" s="28">
        <v>2000</v>
      </c>
      <c r="C40" s="28">
        <v>3000</v>
      </c>
      <c r="D40" s="25">
        <f t="shared" si="1"/>
        <v>-1000</v>
      </c>
    </row>
    <row r="41" spans="1:4" x14ac:dyDescent="0.2">
      <c r="A41" s="11" t="s">
        <v>103</v>
      </c>
      <c r="B41" s="28"/>
      <c r="C41" s="28"/>
      <c r="D41" s="25">
        <f t="shared" si="1"/>
        <v>0</v>
      </c>
    </row>
    <row r="42" spans="1:4" x14ac:dyDescent="0.2">
      <c r="A42" s="11" t="s">
        <v>104</v>
      </c>
      <c r="B42" s="28">
        <v>153.97999999999999</v>
      </c>
      <c r="C42" s="28">
        <v>153.97999999999999</v>
      </c>
      <c r="D42" s="25">
        <f t="shared" si="1"/>
        <v>0</v>
      </c>
    </row>
    <row r="43" spans="1:4" x14ac:dyDescent="0.2">
      <c r="A43" s="11" t="s">
        <v>105</v>
      </c>
      <c r="B43" s="28">
        <v>225</v>
      </c>
      <c r="C43" s="28">
        <v>225</v>
      </c>
      <c r="D43" s="25">
        <f t="shared" si="1"/>
        <v>0</v>
      </c>
    </row>
    <row r="44" spans="1:4" x14ac:dyDescent="0.2">
      <c r="A44" s="11" t="s">
        <v>106</v>
      </c>
      <c r="B44" s="28">
        <v>790</v>
      </c>
      <c r="C44" s="28">
        <v>790</v>
      </c>
      <c r="D44" s="25">
        <f t="shared" si="1"/>
        <v>0</v>
      </c>
    </row>
    <row r="45" spans="1:4" x14ac:dyDescent="0.2">
      <c r="A45" s="11" t="s">
        <v>107</v>
      </c>
      <c r="B45" s="28">
        <v>174.97</v>
      </c>
      <c r="C45" s="28">
        <v>174.97</v>
      </c>
      <c r="D45" s="25">
        <f t="shared" si="1"/>
        <v>0</v>
      </c>
    </row>
    <row r="46" spans="1:4" x14ac:dyDescent="0.2">
      <c r="A46" s="11" t="s">
        <v>108</v>
      </c>
      <c r="B46" s="28">
        <v>1343.95</v>
      </c>
      <c r="C46" s="32">
        <v>1343.95</v>
      </c>
      <c r="D46" s="25">
        <f t="shared" si="1"/>
        <v>0</v>
      </c>
    </row>
    <row r="47" spans="1:4" x14ac:dyDescent="0.2">
      <c r="A47" s="11" t="s">
        <v>109</v>
      </c>
      <c r="B47" s="28">
        <v>195</v>
      </c>
      <c r="C47" s="28">
        <v>195</v>
      </c>
      <c r="D47" s="25">
        <f t="shared" si="1"/>
        <v>0</v>
      </c>
    </row>
    <row r="48" spans="1:4" x14ac:dyDescent="0.2">
      <c r="A48" s="11" t="s">
        <v>116</v>
      </c>
      <c r="B48" s="28">
        <v>-197.5</v>
      </c>
      <c r="C48" s="28">
        <v>-197.5</v>
      </c>
      <c r="D48" s="25">
        <f t="shared" si="1"/>
        <v>0</v>
      </c>
    </row>
    <row r="49" spans="1:4" x14ac:dyDescent="0.2">
      <c r="A49" s="11" t="s">
        <v>110</v>
      </c>
      <c r="B49" s="28">
        <v>700</v>
      </c>
      <c r="C49" s="28">
        <v>700</v>
      </c>
      <c r="D49" s="25">
        <f t="shared" si="1"/>
        <v>0</v>
      </c>
    </row>
    <row r="50" spans="1:4" x14ac:dyDescent="0.2">
      <c r="A50" s="11" t="s">
        <v>111</v>
      </c>
      <c r="B50" s="28">
        <v>151</v>
      </c>
      <c r="C50" s="28">
        <v>151</v>
      </c>
      <c r="D50" s="25">
        <f t="shared" si="1"/>
        <v>0</v>
      </c>
    </row>
    <row r="51" spans="1:4" ht="15" x14ac:dyDescent="0.25">
      <c r="A51" s="19" t="s">
        <v>112</v>
      </c>
      <c r="B51" s="30">
        <v>57523.05</v>
      </c>
      <c r="C51" s="30">
        <v>63093.05</v>
      </c>
      <c r="D51" s="25">
        <f t="shared" si="1"/>
        <v>-5570</v>
      </c>
    </row>
    <row r="52" spans="1:4" x14ac:dyDescent="0.2">
      <c r="A52" s="11" t="s">
        <v>147</v>
      </c>
      <c r="B52" s="28">
        <v>27.98</v>
      </c>
      <c r="C52" s="29"/>
      <c r="D52" s="25"/>
    </row>
    <row r="53" spans="1:4" x14ac:dyDescent="0.2">
      <c r="A53" s="11" t="s">
        <v>76</v>
      </c>
      <c r="B53" s="28">
        <v>-2316.91</v>
      </c>
      <c r="C53" s="28">
        <v>9306.2900000000009</v>
      </c>
      <c r="D53" s="25">
        <f t="shared" si="1"/>
        <v>-11623.2</v>
      </c>
    </row>
    <row r="54" spans="1:4" ht="15" x14ac:dyDescent="0.25">
      <c r="A54" s="19" t="s">
        <v>113</v>
      </c>
      <c r="B54" s="30">
        <v>55234.12</v>
      </c>
      <c r="C54" s="30">
        <v>77399.34</v>
      </c>
      <c r="D54" s="25">
        <f t="shared" si="1"/>
        <v>-22165.219999999994</v>
      </c>
    </row>
    <row r="55" spans="1:4" ht="15" x14ac:dyDescent="0.25">
      <c r="A55" s="19" t="s">
        <v>114</v>
      </c>
      <c r="B55" s="30">
        <v>55234.12</v>
      </c>
      <c r="C55" s="30">
        <v>77865.320000000007</v>
      </c>
      <c r="D55" s="25">
        <f t="shared" si="1"/>
        <v>-22631.200000000004</v>
      </c>
    </row>
    <row r="56" spans="1:4" x14ac:dyDescent="0.2">
      <c r="B56" s="25"/>
      <c r="C56" s="25"/>
    </row>
    <row r="57" spans="1:4" x14ac:dyDescent="0.2">
      <c r="B57" s="25"/>
      <c r="C57" s="25"/>
    </row>
    <row r="58" spans="1:4" x14ac:dyDescent="0.2">
      <c r="B58" s="25"/>
      <c r="C58" s="25"/>
    </row>
    <row r="59" spans="1:4" x14ac:dyDescent="0.2">
      <c r="B59" s="25"/>
      <c r="C59" s="25"/>
    </row>
    <row r="60" spans="1:4" x14ac:dyDescent="0.2">
      <c r="B60" s="25"/>
      <c r="C60" s="25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75" workbookViewId="0">
      <selection activeCell="J11" sqref="J11"/>
    </sheetView>
  </sheetViews>
  <sheetFormatPr defaultRowHeight="12.75" x14ac:dyDescent="0.2"/>
  <cols>
    <col min="1" max="1" width="22.42578125" customWidth="1"/>
    <col min="2" max="11" width="10.140625" bestFit="1" customWidth="1"/>
    <col min="12" max="12" width="11" customWidth="1"/>
    <col min="13" max="13" width="10.140625" bestFit="1" customWidth="1"/>
  </cols>
  <sheetData>
    <row r="1" spans="1:13" x14ac:dyDescent="0.2">
      <c r="A1" s="12" t="s">
        <v>134</v>
      </c>
      <c r="B1" s="13" t="s">
        <v>122</v>
      </c>
      <c r="C1" s="13" t="s">
        <v>123</v>
      </c>
      <c r="D1" s="13" t="s">
        <v>124</v>
      </c>
      <c r="E1" s="13" t="s">
        <v>125</v>
      </c>
      <c r="F1" s="13" t="s">
        <v>126</v>
      </c>
      <c r="G1" s="13" t="s">
        <v>127</v>
      </c>
      <c r="H1" s="13" t="s">
        <v>128</v>
      </c>
      <c r="I1" s="13" t="s">
        <v>129</v>
      </c>
      <c r="J1" s="13" t="s">
        <v>130</v>
      </c>
      <c r="K1" s="13" t="s">
        <v>131</v>
      </c>
      <c r="L1" s="13" t="s">
        <v>132</v>
      </c>
      <c r="M1" s="13" t="s">
        <v>133</v>
      </c>
    </row>
    <row r="2" spans="1:13" x14ac:dyDescent="0.2">
      <c r="A2" t="s">
        <v>7</v>
      </c>
      <c r="B2" s="1">
        <v>16845.509999999998</v>
      </c>
      <c r="C2" s="1">
        <v>7391.48</v>
      </c>
      <c r="D2" s="1">
        <v>7785.73</v>
      </c>
      <c r="E2" s="1">
        <v>5622.73</v>
      </c>
      <c r="F2" s="1">
        <v>8838.5300000000007</v>
      </c>
      <c r="G2" s="1">
        <v>5091.67</v>
      </c>
      <c r="H2" s="1">
        <v>8052.26</v>
      </c>
      <c r="I2" s="1">
        <v>4844.83</v>
      </c>
      <c r="J2" s="1">
        <v>5178.62</v>
      </c>
      <c r="K2" s="1"/>
      <c r="L2" s="1"/>
      <c r="M2" s="1"/>
    </row>
    <row r="3" spans="1:13" x14ac:dyDescent="0.2">
      <c r="A3" t="s">
        <v>8</v>
      </c>
      <c r="B3" s="1">
        <v>14365</v>
      </c>
      <c r="C3" s="1">
        <v>9170</v>
      </c>
      <c r="D3" s="1">
        <v>7515</v>
      </c>
      <c r="E3" s="1">
        <v>10825</v>
      </c>
      <c r="F3" s="1">
        <v>6900</v>
      </c>
      <c r="G3" s="1">
        <v>9100</v>
      </c>
      <c r="H3" s="1">
        <v>6925</v>
      </c>
      <c r="I3" s="1">
        <v>6700</v>
      </c>
      <c r="J3" s="1">
        <v>7505</v>
      </c>
      <c r="K3" s="1"/>
      <c r="L3" s="1"/>
      <c r="M3" s="1"/>
    </row>
    <row r="4" spans="1:13" x14ac:dyDescent="0.2">
      <c r="A4" t="s">
        <v>10</v>
      </c>
      <c r="B4" s="1">
        <v>6306.29</v>
      </c>
      <c r="C4" s="1">
        <v>1000</v>
      </c>
      <c r="D4" s="1">
        <v>0</v>
      </c>
      <c r="E4" s="1">
        <v>0</v>
      </c>
      <c r="F4" s="1">
        <v>0</v>
      </c>
      <c r="G4" s="1">
        <v>0</v>
      </c>
      <c r="H4" s="1">
        <v>12000</v>
      </c>
      <c r="I4" s="1">
        <v>3000</v>
      </c>
      <c r="J4" s="1">
        <v>0</v>
      </c>
      <c r="K4" s="1"/>
      <c r="L4" s="1"/>
      <c r="M4" s="8"/>
    </row>
    <row r="5" spans="1:13" x14ac:dyDescent="0.2">
      <c r="A5" t="s">
        <v>11</v>
      </c>
      <c r="B5" s="1">
        <v>7435</v>
      </c>
      <c r="C5" s="1">
        <v>2265</v>
      </c>
      <c r="D5" s="1">
        <v>1350</v>
      </c>
      <c r="E5" s="1">
        <v>1350</v>
      </c>
      <c r="F5" s="1">
        <v>1350</v>
      </c>
      <c r="G5" s="1">
        <v>1350</v>
      </c>
      <c r="H5" s="1">
        <v>1350</v>
      </c>
      <c r="I5" s="1">
        <v>1350</v>
      </c>
      <c r="J5" s="1">
        <v>1350</v>
      </c>
      <c r="K5" s="1"/>
      <c r="L5" s="1"/>
      <c r="M5" s="1"/>
    </row>
    <row r="6" spans="1:13" x14ac:dyDescent="0.2">
      <c r="A6" t="s">
        <v>0</v>
      </c>
      <c r="B6" s="1">
        <v>9361.68</v>
      </c>
      <c r="C6" s="1">
        <v>11889.88</v>
      </c>
      <c r="D6" s="1">
        <v>7666.6</v>
      </c>
      <c r="E6" s="1">
        <v>10681.45</v>
      </c>
      <c r="F6" s="1">
        <v>10831.99</v>
      </c>
      <c r="G6" s="1">
        <v>7965.92</v>
      </c>
      <c r="H6" s="1">
        <v>13330.36</v>
      </c>
      <c r="I6" s="1">
        <v>8082.53</v>
      </c>
      <c r="J6" s="1">
        <v>4470.6400000000003</v>
      </c>
      <c r="K6" s="1"/>
      <c r="L6" s="1"/>
      <c r="M6" s="1"/>
    </row>
    <row r="7" spans="1:13" x14ac:dyDescent="0.2">
      <c r="A7" t="s">
        <v>5</v>
      </c>
      <c r="B7" s="1">
        <v>9767.33</v>
      </c>
      <c r="C7" s="1">
        <v>11152.33</v>
      </c>
      <c r="D7" s="1">
        <v>10337.34</v>
      </c>
      <c r="E7" s="1">
        <v>13916.83</v>
      </c>
      <c r="F7" s="1">
        <v>8790.08</v>
      </c>
      <c r="G7" s="1">
        <v>9305.09</v>
      </c>
      <c r="H7" s="1">
        <v>12766.83</v>
      </c>
      <c r="I7" s="1">
        <v>9040.08</v>
      </c>
      <c r="J7" s="1">
        <v>9100.09</v>
      </c>
      <c r="K7" s="1"/>
      <c r="L7" s="1"/>
      <c r="M7" s="1"/>
    </row>
    <row r="8" spans="1:13" x14ac:dyDescent="0.2">
      <c r="A8" t="s">
        <v>6</v>
      </c>
      <c r="B8" s="9">
        <f>B2</f>
        <v>16845.509999999998</v>
      </c>
      <c r="C8" s="9">
        <f>B8+C2</f>
        <v>24236.989999999998</v>
      </c>
      <c r="D8" s="9">
        <v>32022.720000000001</v>
      </c>
      <c r="E8" s="9">
        <f>D8+E2</f>
        <v>37645.449999999997</v>
      </c>
      <c r="F8" s="9">
        <v>46483.98</v>
      </c>
      <c r="G8" s="9">
        <f>F8+G2</f>
        <v>51575.65</v>
      </c>
      <c r="H8" s="9">
        <f>G8+H2</f>
        <v>59627.91</v>
      </c>
      <c r="I8" s="9">
        <f>H8+I2</f>
        <v>64472.740000000005</v>
      </c>
      <c r="J8" s="9">
        <f>I8+J2</f>
        <v>69651.360000000001</v>
      </c>
      <c r="K8" s="9"/>
      <c r="L8" s="9"/>
      <c r="M8" s="9"/>
    </row>
    <row r="9" spans="1:13" x14ac:dyDescent="0.2">
      <c r="A9" t="s">
        <v>3</v>
      </c>
      <c r="B9" s="9">
        <f>B6</f>
        <v>9361.68</v>
      </c>
      <c r="C9" s="9">
        <f>B9+C6</f>
        <v>21251.559999999998</v>
      </c>
      <c r="D9" s="9">
        <v>28918.16</v>
      </c>
      <c r="E9" s="9">
        <f>D9+E6</f>
        <v>39599.61</v>
      </c>
      <c r="F9" s="9">
        <v>50431.6</v>
      </c>
      <c r="G9" s="9">
        <f>F9+G6</f>
        <v>58397.52</v>
      </c>
      <c r="H9" s="9">
        <f>G9+H6</f>
        <v>71727.88</v>
      </c>
      <c r="I9" s="9">
        <f>H9+I6</f>
        <v>79810.41</v>
      </c>
      <c r="J9" s="9">
        <f>I9+J6</f>
        <v>84281.05</v>
      </c>
      <c r="K9" s="9"/>
      <c r="L9" s="9"/>
      <c r="M9" s="9"/>
    </row>
    <row r="10" spans="1:13" x14ac:dyDescent="0.2">
      <c r="A10" t="s">
        <v>9</v>
      </c>
      <c r="B10" s="9">
        <f t="shared" ref="B10:G10" si="0">B8-B9</f>
        <v>7483.8299999999981</v>
      </c>
      <c r="C10" s="9">
        <f t="shared" si="0"/>
        <v>2985.4300000000003</v>
      </c>
      <c r="D10" s="9">
        <f t="shared" si="0"/>
        <v>3104.5600000000013</v>
      </c>
      <c r="E10" s="9">
        <f t="shared" si="0"/>
        <v>-1954.1600000000035</v>
      </c>
      <c r="F10" s="9">
        <f t="shared" si="0"/>
        <v>-3947.6199999999953</v>
      </c>
      <c r="G10" s="9">
        <f t="shared" si="0"/>
        <v>-6821.8699999999953</v>
      </c>
      <c r="H10" s="9">
        <f>H8-H9</f>
        <v>-12099.970000000001</v>
      </c>
      <c r="I10" s="9">
        <f>I8-I9</f>
        <v>-15337.669999999998</v>
      </c>
      <c r="J10" s="9">
        <f>J8-J9</f>
        <v>-14629.690000000002</v>
      </c>
      <c r="K10" s="9"/>
      <c r="L10" s="9"/>
      <c r="M10" s="9"/>
    </row>
    <row r="12" spans="1:13" x14ac:dyDescent="0.2">
      <c r="A12" s="12" t="s">
        <v>135</v>
      </c>
      <c r="B12" s="13" t="s">
        <v>122</v>
      </c>
      <c r="C12" s="13" t="s">
        <v>123</v>
      </c>
      <c r="D12" s="13" t="s">
        <v>124</v>
      </c>
      <c r="E12" s="13" t="s">
        <v>125</v>
      </c>
      <c r="F12" s="13" t="s">
        <v>126</v>
      </c>
      <c r="G12" s="13" t="s">
        <v>127</v>
      </c>
      <c r="H12" s="13" t="s">
        <v>128</v>
      </c>
      <c r="I12" s="13" t="s">
        <v>129</v>
      </c>
      <c r="J12" s="13" t="s">
        <v>130</v>
      </c>
      <c r="K12" s="13" t="s">
        <v>131</v>
      </c>
      <c r="L12" s="13" t="s">
        <v>132</v>
      </c>
      <c r="M12" s="13" t="s">
        <v>133</v>
      </c>
    </row>
    <row r="13" spans="1:13" x14ac:dyDescent="0.2">
      <c r="A13" t="s">
        <v>7</v>
      </c>
      <c r="B13" s="1">
        <f>17336.95-5822.4</f>
        <v>11514.550000000001</v>
      </c>
      <c r="C13" s="1">
        <v>9211.58</v>
      </c>
      <c r="D13" s="1">
        <v>6140.79</v>
      </c>
      <c r="E13" s="1">
        <v>7611.77</v>
      </c>
      <c r="F13" s="1">
        <v>8896.85</v>
      </c>
      <c r="G13" s="1">
        <v>9196.61</v>
      </c>
      <c r="H13" s="1">
        <v>6495.47</v>
      </c>
      <c r="I13" s="1">
        <v>7927.11</v>
      </c>
      <c r="J13" s="1">
        <v>7910.63</v>
      </c>
      <c r="K13" s="1">
        <v>12352</v>
      </c>
      <c r="L13" s="1">
        <v>16720.830000000002</v>
      </c>
      <c r="M13" s="1">
        <v>11758.48</v>
      </c>
    </row>
    <row r="14" spans="1:13" x14ac:dyDescent="0.2">
      <c r="A14" t="s">
        <v>8</v>
      </c>
      <c r="B14" s="1">
        <v>6463.49</v>
      </c>
      <c r="C14" s="1">
        <v>6463.49</v>
      </c>
      <c r="D14" s="1">
        <v>6463.52</v>
      </c>
      <c r="E14" s="1">
        <v>7963.49</v>
      </c>
      <c r="F14" s="1">
        <v>9463.49</v>
      </c>
      <c r="G14" s="1">
        <v>9963.52</v>
      </c>
      <c r="H14" s="1">
        <v>6463.49</v>
      </c>
      <c r="I14" s="1">
        <v>6463.49</v>
      </c>
      <c r="J14" s="1">
        <v>6463.52</v>
      </c>
      <c r="K14" s="1">
        <v>7463.49</v>
      </c>
      <c r="L14" s="1">
        <v>17963.490000000002</v>
      </c>
      <c r="M14" s="1">
        <v>9763.52</v>
      </c>
    </row>
    <row r="15" spans="1:13" x14ac:dyDescent="0.2">
      <c r="A15" t="s">
        <v>10</v>
      </c>
      <c r="B15" s="1">
        <v>5822.4</v>
      </c>
      <c r="C15" s="1">
        <v>0</v>
      </c>
      <c r="D15" s="1">
        <v>0</v>
      </c>
      <c r="E15" s="1">
        <v>1683</v>
      </c>
      <c r="F15" s="1">
        <v>1783</v>
      </c>
      <c r="G15" s="1">
        <v>2238.35</v>
      </c>
      <c r="H15" s="1">
        <v>1783.42</v>
      </c>
      <c r="I15" s="1">
        <v>1783.42</v>
      </c>
      <c r="J15" s="1">
        <v>1683.41</v>
      </c>
      <c r="K15" s="1">
        <v>0</v>
      </c>
      <c r="L15" s="1">
        <v>0</v>
      </c>
      <c r="M15" s="8">
        <v>0</v>
      </c>
    </row>
    <row r="16" spans="1:13" x14ac:dyDescent="0.2">
      <c r="A16" t="s">
        <v>11</v>
      </c>
      <c r="B16" s="1">
        <v>7555.42</v>
      </c>
      <c r="C16" s="1">
        <v>1583.42</v>
      </c>
      <c r="D16" s="1">
        <v>1583.41</v>
      </c>
      <c r="E16" s="1">
        <v>1683.42</v>
      </c>
      <c r="F16" s="1">
        <v>1783.42</v>
      </c>
      <c r="G16" s="1">
        <v>1783.41</v>
      </c>
      <c r="H16" s="1">
        <v>1783.42</v>
      </c>
      <c r="I16" s="1">
        <v>1783.42</v>
      </c>
      <c r="J16" s="1">
        <v>1683.41</v>
      </c>
      <c r="K16" s="1">
        <v>1583.42</v>
      </c>
      <c r="L16" s="1">
        <v>1583.42</v>
      </c>
      <c r="M16" s="1">
        <v>1583.42</v>
      </c>
    </row>
    <row r="17" spans="1:13" x14ac:dyDescent="0.2">
      <c r="A17" t="s">
        <v>0</v>
      </c>
      <c r="B17" s="1">
        <v>11324.06</v>
      </c>
      <c r="C17" s="1">
        <v>10294.93</v>
      </c>
      <c r="D17" s="1">
        <v>9228.5499999999993</v>
      </c>
      <c r="E17" s="1">
        <v>11109.21</v>
      </c>
      <c r="F17" s="1">
        <v>11110.39</v>
      </c>
      <c r="G17" s="1">
        <v>9682.23</v>
      </c>
      <c r="H17" s="1">
        <v>11914.92</v>
      </c>
      <c r="I17" s="1">
        <v>7562.18</v>
      </c>
      <c r="J17" s="1">
        <v>7665.95</v>
      </c>
      <c r="K17" s="1">
        <v>11647.81</v>
      </c>
      <c r="L17" s="1">
        <v>11593.5</v>
      </c>
      <c r="M17" s="1">
        <v>9786.26</v>
      </c>
    </row>
    <row r="18" spans="1:13" x14ac:dyDescent="0.2">
      <c r="A18" t="s">
        <v>5</v>
      </c>
      <c r="B18" s="1">
        <v>10111.24</v>
      </c>
      <c r="C18" s="1">
        <v>10111.24</v>
      </c>
      <c r="D18" s="1">
        <v>10111.27</v>
      </c>
      <c r="E18" s="1">
        <v>10111.24</v>
      </c>
      <c r="F18" s="1">
        <v>10311.23</v>
      </c>
      <c r="G18" s="1">
        <v>12111.28</v>
      </c>
      <c r="H18" s="1">
        <v>10111.23</v>
      </c>
      <c r="I18" s="1">
        <v>10111.24</v>
      </c>
      <c r="J18" s="1">
        <v>10111.280000000001</v>
      </c>
      <c r="K18" s="1">
        <v>10911.23</v>
      </c>
      <c r="L18" s="1">
        <v>13111.24</v>
      </c>
      <c r="M18" s="1">
        <v>10111.280000000001</v>
      </c>
    </row>
    <row r="19" spans="1:13" x14ac:dyDescent="0.2">
      <c r="A19" t="s">
        <v>6</v>
      </c>
      <c r="B19" s="9">
        <f>B13</f>
        <v>11514.550000000001</v>
      </c>
      <c r="C19" s="9">
        <f t="shared" ref="C19:M19" si="1">B19+C13</f>
        <v>20726.13</v>
      </c>
      <c r="D19" s="9">
        <f t="shared" si="1"/>
        <v>26866.920000000002</v>
      </c>
      <c r="E19" s="9">
        <f t="shared" si="1"/>
        <v>34478.69</v>
      </c>
      <c r="F19" s="9">
        <f t="shared" si="1"/>
        <v>43375.54</v>
      </c>
      <c r="G19" s="9">
        <f t="shared" si="1"/>
        <v>52572.15</v>
      </c>
      <c r="H19" s="9">
        <f t="shared" si="1"/>
        <v>59067.62</v>
      </c>
      <c r="I19" s="9">
        <f t="shared" si="1"/>
        <v>66994.73</v>
      </c>
      <c r="J19" s="9">
        <f t="shared" si="1"/>
        <v>74905.36</v>
      </c>
      <c r="K19" s="9">
        <f t="shared" si="1"/>
        <v>87257.36</v>
      </c>
      <c r="L19" s="9">
        <f t="shared" si="1"/>
        <v>103978.19</v>
      </c>
      <c r="M19" s="9">
        <f t="shared" si="1"/>
        <v>115736.67</v>
      </c>
    </row>
    <row r="20" spans="1:13" x14ac:dyDescent="0.2">
      <c r="A20" t="s">
        <v>3</v>
      </c>
      <c r="B20" s="9">
        <f>B17</f>
        <v>11324.06</v>
      </c>
      <c r="C20" s="9">
        <f t="shared" ref="C20:M20" si="2">B20+C17</f>
        <v>21618.989999999998</v>
      </c>
      <c r="D20" s="9">
        <f t="shared" si="2"/>
        <v>30847.539999999997</v>
      </c>
      <c r="E20" s="9">
        <f t="shared" si="2"/>
        <v>41956.75</v>
      </c>
      <c r="F20" s="9">
        <f t="shared" si="2"/>
        <v>53067.14</v>
      </c>
      <c r="G20" s="9">
        <f t="shared" si="2"/>
        <v>62749.369999999995</v>
      </c>
      <c r="H20" s="9">
        <f t="shared" si="2"/>
        <v>74664.289999999994</v>
      </c>
      <c r="I20" s="9">
        <f t="shared" si="2"/>
        <v>82226.47</v>
      </c>
      <c r="J20" s="9">
        <f t="shared" si="2"/>
        <v>89892.42</v>
      </c>
      <c r="K20" s="9">
        <f t="shared" si="2"/>
        <v>101540.23</v>
      </c>
      <c r="L20" s="9">
        <f t="shared" si="2"/>
        <v>113133.73</v>
      </c>
      <c r="M20" s="9">
        <f t="shared" si="2"/>
        <v>122919.98999999999</v>
      </c>
    </row>
    <row r="21" spans="1:13" x14ac:dyDescent="0.2">
      <c r="A21" t="s">
        <v>9</v>
      </c>
      <c r="B21" s="9">
        <f t="shared" ref="B21:M21" si="3">B19-B20</f>
        <v>190.4900000000016</v>
      </c>
      <c r="C21" s="9">
        <f t="shared" si="3"/>
        <v>-892.85999999999694</v>
      </c>
      <c r="D21" s="9">
        <f t="shared" si="3"/>
        <v>-3980.6199999999953</v>
      </c>
      <c r="E21" s="9">
        <f t="shared" si="3"/>
        <v>-7478.0599999999977</v>
      </c>
      <c r="F21" s="9">
        <f t="shared" si="3"/>
        <v>-9691.5999999999985</v>
      </c>
      <c r="G21" s="9">
        <f t="shared" si="3"/>
        <v>-10177.219999999994</v>
      </c>
      <c r="H21" s="9">
        <f t="shared" si="3"/>
        <v>-15596.669999999991</v>
      </c>
      <c r="I21" s="9">
        <f t="shared" si="3"/>
        <v>-15231.740000000005</v>
      </c>
      <c r="J21" s="9">
        <f t="shared" si="3"/>
        <v>-14987.059999999998</v>
      </c>
      <c r="K21" s="9">
        <f t="shared" si="3"/>
        <v>-14282.869999999995</v>
      </c>
      <c r="L21" s="9">
        <f t="shared" si="3"/>
        <v>-9155.5399999999936</v>
      </c>
      <c r="M21" s="9">
        <f t="shared" si="3"/>
        <v>-7183.3199999999924</v>
      </c>
    </row>
  </sheetData>
  <phoneticPr fontId="0" type="noConversion"/>
  <printOptions horizontalCentered="1"/>
  <pageMargins left="0.75" right="0.75" top="1" bottom="1" header="0.5" footer="0.5"/>
  <pageSetup scale="72" orientation="landscape" horizontalDpi="4294967293" verticalDpi="300" r:id="rId1"/>
  <headerFooter alignWithMargins="0">
    <oddHeader>&amp;CCash Flow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F12" sqref="F12"/>
    </sheetView>
  </sheetViews>
  <sheetFormatPr defaultRowHeight="12.75" x14ac:dyDescent="0.2"/>
  <cols>
    <col min="1" max="1" width="8.140625" style="14" bestFit="1" customWidth="1"/>
    <col min="2" max="4" width="8.140625" bestFit="1" customWidth="1"/>
  </cols>
  <sheetData>
    <row r="1" spans="1:12" x14ac:dyDescent="0.2">
      <c r="A1" s="14" t="s">
        <v>138</v>
      </c>
      <c r="B1">
        <v>2003</v>
      </c>
      <c r="C1">
        <v>2004</v>
      </c>
      <c r="D1">
        <v>2005</v>
      </c>
      <c r="E1" t="s">
        <v>139</v>
      </c>
      <c r="F1">
        <v>2003</v>
      </c>
      <c r="G1">
        <v>2004</v>
      </c>
      <c r="H1">
        <v>2005</v>
      </c>
      <c r="J1">
        <v>2003</v>
      </c>
      <c r="K1">
        <v>2004</v>
      </c>
      <c r="L1">
        <v>2005</v>
      </c>
    </row>
    <row r="3" spans="1:12" x14ac:dyDescent="0.2">
      <c r="A3" s="14">
        <v>1</v>
      </c>
      <c r="B3" s="15">
        <v>1718</v>
      </c>
      <c r="C3" s="15">
        <v>3549</v>
      </c>
      <c r="D3" s="15">
        <v>2024.5</v>
      </c>
      <c r="E3" s="15" t="s">
        <v>122</v>
      </c>
      <c r="F3" s="15">
        <f>SUM(B3:B6)</f>
        <v>6656</v>
      </c>
      <c r="G3" s="15">
        <f>SUM(C3:C6)</f>
        <v>7734.75</v>
      </c>
      <c r="H3" s="15">
        <f>SUM(D3:D6)</f>
        <v>5353.5</v>
      </c>
      <c r="J3" s="15">
        <v>6656</v>
      </c>
      <c r="K3" s="15">
        <v>7734.75</v>
      </c>
      <c r="L3" s="15">
        <v>5353.5</v>
      </c>
    </row>
    <row r="4" spans="1:12" x14ac:dyDescent="0.2">
      <c r="A4" s="14">
        <v>2</v>
      </c>
      <c r="B4" s="15">
        <v>1796</v>
      </c>
      <c r="C4" s="15">
        <v>1134</v>
      </c>
      <c r="D4" s="15">
        <v>884</v>
      </c>
      <c r="E4" s="15" t="s">
        <v>123</v>
      </c>
      <c r="F4" s="15">
        <f>SUM(B7:B10)</f>
        <v>6164</v>
      </c>
      <c r="G4" s="15">
        <f>SUM(C7:C10)</f>
        <v>5190.25</v>
      </c>
      <c r="H4" s="15">
        <f>SUM(D7:D10)</f>
        <v>6310.5</v>
      </c>
      <c r="J4" s="15">
        <f>J3+F4</f>
        <v>12820</v>
      </c>
      <c r="K4" s="15">
        <f t="shared" ref="K4:L14" si="0">K3+G4</f>
        <v>12925</v>
      </c>
      <c r="L4" s="15">
        <f t="shared" si="0"/>
        <v>11664</v>
      </c>
    </row>
    <row r="5" spans="1:12" x14ac:dyDescent="0.2">
      <c r="A5" s="14">
        <v>3</v>
      </c>
      <c r="B5" s="15">
        <v>1490</v>
      </c>
      <c r="C5" s="15">
        <v>1593</v>
      </c>
      <c r="D5" s="15">
        <v>1549</v>
      </c>
      <c r="E5" s="15" t="s">
        <v>124</v>
      </c>
      <c r="F5" s="15">
        <f>SUM(B11:B15)</f>
        <v>7403</v>
      </c>
      <c r="G5" s="15">
        <f>SUM(C11:C15)</f>
        <v>7698.5</v>
      </c>
      <c r="H5" s="15">
        <f>SUM(D11:D15)</f>
        <v>7195.5</v>
      </c>
      <c r="J5" s="15">
        <f t="shared" ref="J5:J14" si="1">J4+F5</f>
        <v>20223</v>
      </c>
      <c r="K5" s="15">
        <f t="shared" si="0"/>
        <v>20623.5</v>
      </c>
      <c r="L5" s="15">
        <f t="shared" si="0"/>
        <v>18859.5</v>
      </c>
    </row>
    <row r="6" spans="1:12" x14ac:dyDescent="0.2">
      <c r="A6" s="14">
        <v>4</v>
      </c>
      <c r="B6" s="15">
        <v>1652</v>
      </c>
      <c r="C6" s="15">
        <v>1458.75</v>
      </c>
      <c r="D6" s="15">
        <v>896</v>
      </c>
      <c r="E6" s="15" t="s">
        <v>125</v>
      </c>
      <c r="F6" s="15">
        <f>SUM(B16:B19)</f>
        <v>6540</v>
      </c>
      <c r="G6" s="15">
        <f>SUM(C16:C19)</f>
        <v>5646.5</v>
      </c>
      <c r="H6" s="15">
        <f>SUM(D16:D19)</f>
        <v>5101</v>
      </c>
      <c r="J6" s="15">
        <f t="shared" si="1"/>
        <v>26763</v>
      </c>
      <c r="K6" s="15">
        <f t="shared" si="0"/>
        <v>26270</v>
      </c>
      <c r="L6" s="15">
        <f t="shared" si="0"/>
        <v>23960.5</v>
      </c>
    </row>
    <row r="7" spans="1:12" x14ac:dyDescent="0.2">
      <c r="A7" s="14">
        <v>5</v>
      </c>
      <c r="B7" s="15">
        <v>2213</v>
      </c>
      <c r="C7" s="15">
        <v>1621.25</v>
      </c>
      <c r="D7" s="15">
        <v>1969</v>
      </c>
      <c r="E7" s="15" t="s">
        <v>126</v>
      </c>
      <c r="F7" s="15">
        <f>SUM(B20:B23)</f>
        <v>5968</v>
      </c>
      <c r="G7" s="15">
        <f>SUM(C20:C23)</f>
        <v>4936.5</v>
      </c>
      <c r="H7" s="15">
        <f>SUM(D20:D23)</f>
        <v>7065.5</v>
      </c>
      <c r="J7" s="15">
        <f t="shared" si="1"/>
        <v>32731</v>
      </c>
      <c r="K7" s="15">
        <f t="shared" si="0"/>
        <v>31206.5</v>
      </c>
      <c r="L7" s="15">
        <f>L6+H7</f>
        <v>31026</v>
      </c>
    </row>
    <row r="8" spans="1:12" x14ac:dyDescent="0.2">
      <c r="A8" s="14">
        <v>6</v>
      </c>
      <c r="B8" s="15">
        <v>1358</v>
      </c>
      <c r="C8" s="15">
        <v>1375</v>
      </c>
      <c r="D8" s="15">
        <v>2070</v>
      </c>
      <c r="E8" s="15" t="s">
        <v>127</v>
      </c>
      <c r="F8" s="15">
        <f>SUM(B24:B28)</f>
        <v>9672</v>
      </c>
      <c r="G8" s="15">
        <f>SUM(C24:C28)</f>
        <v>7835.5</v>
      </c>
      <c r="H8" s="15">
        <f>SUM(D24:D28)</f>
        <v>6066</v>
      </c>
      <c r="J8" s="15">
        <f t="shared" si="1"/>
        <v>42403</v>
      </c>
      <c r="K8" s="15">
        <f t="shared" si="0"/>
        <v>39042</v>
      </c>
      <c r="L8" s="15">
        <f t="shared" si="0"/>
        <v>37092</v>
      </c>
    </row>
    <row r="9" spans="1:12" x14ac:dyDescent="0.2">
      <c r="A9" s="14">
        <v>7</v>
      </c>
      <c r="B9" s="15">
        <v>1156</v>
      </c>
      <c r="C9" s="15">
        <v>1376.5</v>
      </c>
      <c r="D9" s="15">
        <v>999.5</v>
      </c>
      <c r="E9" s="15" t="s">
        <v>128</v>
      </c>
      <c r="F9" s="15">
        <f>SUM(B29:B32)</f>
        <v>5757</v>
      </c>
      <c r="G9" s="15">
        <f>SUM(C29:C32)</f>
        <v>6133.83</v>
      </c>
      <c r="H9" s="15">
        <f>SUM(D29:D32)</f>
        <v>5339</v>
      </c>
      <c r="J9" s="15">
        <f t="shared" si="1"/>
        <v>48160</v>
      </c>
      <c r="K9" s="15">
        <f t="shared" si="0"/>
        <v>45175.83</v>
      </c>
      <c r="L9" s="15">
        <f t="shared" si="0"/>
        <v>42431</v>
      </c>
    </row>
    <row r="10" spans="1:12" x14ac:dyDescent="0.2">
      <c r="A10" s="14">
        <v>8</v>
      </c>
      <c r="B10" s="15">
        <v>1437</v>
      </c>
      <c r="C10" s="15">
        <v>817.5</v>
      </c>
      <c r="D10" s="15">
        <v>1272</v>
      </c>
      <c r="E10" s="15" t="s">
        <v>129</v>
      </c>
      <c r="F10" s="15">
        <f>SUM(B33:B36)</f>
        <v>5493</v>
      </c>
      <c r="G10" s="15">
        <f>SUM(C33:C36)</f>
        <v>5180.5</v>
      </c>
      <c r="H10" s="15">
        <f>SUM(D33:D36)</f>
        <v>4661</v>
      </c>
      <c r="J10" s="15">
        <f t="shared" si="1"/>
        <v>53653</v>
      </c>
      <c r="K10" s="15">
        <f t="shared" si="0"/>
        <v>50356.33</v>
      </c>
      <c r="L10" s="15">
        <f t="shared" si="0"/>
        <v>47092</v>
      </c>
    </row>
    <row r="11" spans="1:12" x14ac:dyDescent="0.2">
      <c r="A11" s="14">
        <v>9</v>
      </c>
      <c r="B11" s="15">
        <v>1204</v>
      </c>
      <c r="C11" s="15">
        <v>1960.5</v>
      </c>
      <c r="D11" s="15">
        <v>1629</v>
      </c>
      <c r="E11" s="15" t="s">
        <v>130</v>
      </c>
      <c r="F11" s="15">
        <f>SUM(B37:B41)</f>
        <v>6059</v>
      </c>
      <c r="G11" s="15">
        <f>SUM(C37:C41)</f>
        <v>6604.5</v>
      </c>
      <c r="H11" s="15">
        <f>SUM(D37:D41)</f>
        <v>6379.5</v>
      </c>
      <c r="J11" s="15">
        <f t="shared" si="1"/>
        <v>59712</v>
      </c>
      <c r="K11" s="15">
        <f t="shared" si="0"/>
        <v>56960.83</v>
      </c>
      <c r="L11" s="15">
        <f t="shared" si="0"/>
        <v>53471.5</v>
      </c>
    </row>
    <row r="12" spans="1:12" x14ac:dyDescent="0.2">
      <c r="A12" s="14">
        <v>10</v>
      </c>
      <c r="B12" s="15">
        <v>1864</v>
      </c>
      <c r="C12" s="15">
        <v>1664</v>
      </c>
      <c r="D12" s="15">
        <v>878</v>
      </c>
      <c r="E12" s="15" t="s">
        <v>131</v>
      </c>
      <c r="F12" s="15">
        <f>SUM(B42:B45)</f>
        <v>6725</v>
      </c>
      <c r="G12" s="15">
        <f>SUM(C42:C45)</f>
        <v>6822.5</v>
      </c>
      <c r="H12" s="15">
        <f>SUM(D42:D45)</f>
        <v>0</v>
      </c>
      <c r="J12" s="15">
        <f t="shared" si="1"/>
        <v>66437</v>
      </c>
      <c r="K12" s="15">
        <f t="shared" si="0"/>
        <v>63783.33</v>
      </c>
      <c r="L12" s="15">
        <f t="shared" si="0"/>
        <v>53471.5</v>
      </c>
    </row>
    <row r="13" spans="1:12" x14ac:dyDescent="0.2">
      <c r="A13" s="14">
        <v>11</v>
      </c>
      <c r="B13" s="15">
        <v>2036</v>
      </c>
      <c r="C13" s="15">
        <v>1224</v>
      </c>
      <c r="D13" s="15">
        <v>1718.5</v>
      </c>
      <c r="E13" s="15" t="s">
        <v>132</v>
      </c>
      <c r="F13" s="15">
        <f>SUM(B46:B49)</f>
        <v>5542</v>
      </c>
      <c r="G13" s="15">
        <f>SUM(C46:C49)</f>
        <v>7212</v>
      </c>
      <c r="H13" s="15">
        <f>SUM(D46:D49)</f>
        <v>0</v>
      </c>
      <c r="J13" s="15">
        <f t="shared" si="1"/>
        <v>71979</v>
      </c>
      <c r="K13" s="15">
        <f t="shared" si="0"/>
        <v>70995.33</v>
      </c>
      <c r="L13" s="15">
        <f t="shared" si="0"/>
        <v>53471.5</v>
      </c>
    </row>
    <row r="14" spans="1:12" x14ac:dyDescent="0.2">
      <c r="A14" s="14">
        <v>12</v>
      </c>
      <c r="B14" s="15">
        <v>1441</v>
      </c>
      <c r="C14" s="15">
        <v>1407.5</v>
      </c>
      <c r="D14" s="15">
        <v>1476</v>
      </c>
      <c r="E14" s="15" t="s">
        <v>133</v>
      </c>
      <c r="F14" s="15">
        <f>SUM(B50:B55)</f>
        <v>9566</v>
      </c>
      <c r="G14" s="15">
        <f>SUM(C50:C55)</f>
        <v>8194.5</v>
      </c>
      <c r="H14" s="15">
        <f>SUM(D50:D55)</f>
        <v>0</v>
      </c>
      <c r="J14" s="15">
        <f t="shared" si="1"/>
        <v>81545</v>
      </c>
      <c r="K14" s="15">
        <f t="shared" si="0"/>
        <v>79189.83</v>
      </c>
      <c r="L14" s="15">
        <f t="shared" si="0"/>
        <v>53471.5</v>
      </c>
    </row>
    <row r="15" spans="1:12" x14ac:dyDescent="0.2">
      <c r="A15" s="14">
        <v>13</v>
      </c>
      <c r="B15" s="15">
        <v>858</v>
      </c>
      <c r="C15" s="15">
        <v>1442.5</v>
      </c>
      <c r="D15" s="15">
        <v>1494</v>
      </c>
      <c r="E15" s="15"/>
    </row>
    <row r="16" spans="1:12" x14ac:dyDescent="0.2">
      <c r="A16" s="14">
        <v>14</v>
      </c>
      <c r="B16" s="15">
        <v>784</v>
      </c>
      <c r="C16" s="15">
        <v>1804.5</v>
      </c>
      <c r="D16" s="15">
        <v>965</v>
      </c>
      <c r="E16" s="15"/>
    </row>
    <row r="17" spans="1:5" x14ac:dyDescent="0.2">
      <c r="A17" s="14">
        <v>15</v>
      </c>
      <c r="B17" s="15">
        <v>1692</v>
      </c>
      <c r="C17" s="15">
        <v>951</v>
      </c>
      <c r="D17" s="15">
        <v>1691</v>
      </c>
      <c r="E17" s="15"/>
    </row>
    <row r="18" spans="1:5" x14ac:dyDescent="0.2">
      <c r="A18" s="14">
        <v>16</v>
      </c>
      <c r="B18" s="15">
        <v>2908</v>
      </c>
      <c r="C18" s="15">
        <v>1629</v>
      </c>
      <c r="D18" s="15">
        <v>1307</v>
      </c>
      <c r="E18" s="15"/>
    </row>
    <row r="19" spans="1:5" x14ac:dyDescent="0.2">
      <c r="A19" s="14">
        <v>17</v>
      </c>
      <c r="B19" s="15">
        <v>1156</v>
      </c>
      <c r="C19" s="15">
        <v>1262</v>
      </c>
      <c r="D19" s="15">
        <v>1138</v>
      </c>
      <c r="E19" s="15"/>
    </row>
    <row r="20" spans="1:5" x14ac:dyDescent="0.2">
      <c r="A20" s="14">
        <v>18</v>
      </c>
      <c r="B20" s="15">
        <v>2520</v>
      </c>
      <c r="C20" s="15">
        <v>1626</v>
      </c>
      <c r="D20" s="15">
        <v>1697.5</v>
      </c>
      <c r="E20" s="15"/>
    </row>
    <row r="21" spans="1:5" x14ac:dyDescent="0.2">
      <c r="A21" s="14">
        <v>19</v>
      </c>
      <c r="B21" s="15">
        <v>1068</v>
      </c>
      <c r="C21" s="15">
        <v>999</v>
      </c>
      <c r="D21" s="15">
        <v>1996</v>
      </c>
      <c r="E21" s="15"/>
    </row>
    <row r="22" spans="1:5" x14ac:dyDescent="0.2">
      <c r="A22" s="14">
        <v>20</v>
      </c>
      <c r="B22" s="15">
        <v>1114</v>
      </c>
      <c r="C22" s="15">
        <v>1552</v>
      </c>
      <c r="D22" s="15">
        <v>1210</v>
      </c>
      <c r="E22" s="15"/>
    </row>
    <row r="23" spans="1:5" x14ac:dyDescent="0.2">
      <c r="A23" s="14">
        <v>21</v>
      </c>
      <c r="B23" s="15">
        <v>1266</v>
      </c>
      <c r="C23" s="15">
        <v>759.5</v>
      </c>
      <c r="D23" s="15">
        <v>2162</v>
      </c>
      <c r="E23" s="15"/>
    </row>
    <row r="24" spans="1:5" x14ac:dyDescent="0.2">
      <c r="A24" s="14">
        <v>22</v>
      </c>
      <c r="B24" s="15">
        <v>1126</v>
      </c>
      <c r="C24" s="15">
        <v>1454</v>
      </c>
      <c r="D24" s="15">
        <v>1280</v>
      </c>
      <c r="E24" s="15"/>
    </row>
    <row r="25" spans="1:5" x14ac:dyDescent="0.2">
      <c r="A25" s="14">
        <v>23</v>
      </c>
      <c r="B25" s="15">
        <v>2618</v>
      </c>
      <c r="C25" s="15">
        <v>1496</v>
      </c>
      <c r="D25" s="15">
        <v>1326</v>
      </c>
      <c r="E25" s="15"/>
    </row>
    <row r="26" spans="1:5" x14ac:dyDescent="0.2">
      <c r="A26" s="14">
        <v>24</v>
      </c>
      <c r="B26" s="15">
        <v>1698</v>
      </c>
      <c r="C26" s="15">
        <v>1377.5</v>
      </c>
      <c r="D26" s="15">
        <v>579</v>
      </c>
      <c r="E26" s="15"/>
    </row>
    <row r="27" spans="1:5" x14ac:dyDescent="0.2">
      <c r="A27" s="14">
        <v>25</v>
      </c>
      <c r="B27" s="15">
        <v>2766</v>
      </c>
      <c r="C27" s="15">
        <v>1017</v>
      </c>
      <c r="D27" s="15">
        <v>1520</v>
      </c>
      <c r="E27" s="15"/>
    </row>
    <row r="28" spans="1:5" x14ac:dyDescent="0.2">
      <c r="A28" s="14">
        <v>26</v>
      </c>
      <c r="B28" s="15">
        <v>1464</v>
      </c>
      <c r="C28" s="15">
        <v>2491</v>
      </c>
      <c r="D28" s="15">
        <v>1361</v>
      </c>
      <c r="E28" s="15"/>
    </row>
    <row r="29" spans="1:5" x14ac:dyDescent="0.2">
      <c r="A29" s="14">
        <v>27</v>
      </c>
      <c r="B29" s="15">
        <v>1896</v>
      </c>
      <c r="C29" s="15">
        <v>1784</v>
      </c>
      <c r="D29" s="15">
        <v>2158.5</v>
      </c>
      <c r="E29" s="15"/>
    </row>
    <row r="30" spans="1:5" x14ac:dyDescent="0.2">
      <c r="A30" s="14">
        <v>28</v>
      </c>
      <c r="B30" s="15">
        <v>1531</v>
      </c>
      <c r="C30" s="15">
        <v>1783</v>
      </c>
      <c r="D30" s="15">
        <v>1371.5</v>
      </c>
      <c r="E30" s="15"/>
    </row>
    <row r="31" spans="1:5" x14ac:dyDescent="0.2">
      <c r="A31" s="14">
        <v>29</v>
      </c>
      <c r="B31" s="15">
        <v>1098</v>
      </c>
      <c r="C31" s="15">
        <v>1031.33</v>
      </c>
      <c r="D31" s="15">
        <v>892</v>
      </c>
      <c r="E31" s="15"/>
    </row>
    <row r="32" spans="1:5" x14ac:dyDescent="0.2">
      <c r="A32" s="14">
        <v>30</v>
      </c>
      <c r="B32" s="15">
        <v>1232</v>
      </c>
      <c r="C32" s="15">
        <v>1535.5</v>
      </c>
      <c r="D32" s="15">
        <v>917</v>
      </c>
      <c r="E32" s="15"/>
    </row>
    <row r="33" spans="1:5" x14ac:dyDescent="0.2">
      <c r="A33" s="14">
        <v>31</v>
      </c>
      <c r="B33" s="15">
        <v>1393</v>
      </c>
      <c r="C33" s="15">
        <v>1161</v>
      </c>
      <c r="D33" s="15">
        <v>1480.5</v>
      </c>
      <c r="E33" s="15"/>
    </row>
    <row r="34" spans="1:5" x14ac:dyDescent="0.2">
      <c r="A34" s="14">
        <v>32</v>
      </c>
      <c r="B34" s="15">
        <v>1983</v>
      </c>
      <c r="C34" s="15">
        <v>1788</v>
      </c>
      <c r="D34" s="15">
        <v>1159.5</v>
      </c>
      <c r="E34" s="15"/>
    </row>
    <row r="35" spans="1:5" x14ac:dyDescent="0.2">
      <c r="A35" s="14">
        <v>33</v>
      </c>
      <c r="B35" s="15">
        <v>910</v>
      </c>
      <c r="C35" s="15">
        <v>769</v>
      </c>
      <c r="D35" s="15">
        <v>599</v>
      </c>
      <c r="E35" s="15"/>
    </row>
    <row r="36" spans="1:5" x14ac:dyDescent="0.2">
      <c r="A36" s="14">
        <v>34</v>
      </c>
      <c r="B36" s="15">
        <v>1207</v>
      </c>
      <c r="C36" s="15">
        <v>1462.5</v>
      </c>
      <c r="D36" s="15">
        <v>1422</v>
      </c>
      <c r="E36" s="15"/>
    </row>
    <row r="37" spans="1:5" x14ac:dyDescent="0.2">
      <c r="A37" s="14">
        <v>35</v>
      </c>
      <c r="B37" s="15">
        <v>1055</v>
      </c>
      <c r="C37" s="15">
        <v>1142</v>
      </c>
      <c r="D37" s="15">
        <v>718.5</v>
      </c>
      <c r="E37" s="15"/>
    </row>
    <row r="38" spans="1:5" x14ac:dyDescent="0.2">
      <c r="A38" s="14">
        <v>36</v>
      </c>
      <c r="B38" s="15">
        <v>1298</v>
      </c>
      <c r="C38" s="15">
        <v>1502</v>
      </c>
      <c r="D38" s="15">
        <v>1043</v>
      </c>
      <c r="E38" s="15"/>
    </row>
    <row r="39" spans="1:5" x14ac:dyDescent="0.2">
      <c r="A39" s="14">
        <v>37</v>
      </c>
      <c r="B39" s="15">
        <v>1111</v>
      </c>
      <c r="C39" s="15">
        <v>1020</v>
      </c>
      <c r="D39" s="15">
        <v>1866</v>
      </c>
      <c r="E39" s="15"/>
    </row>
    <row r="40" spans="1:5" x14ac:dyDescent="0.2">
      <c r="A40" s="14">
        <v>38</v>
      </c>
      <c r="B40" s="15">
        <v>1421</v>
      </c>
      <c r="C40" s="15">
        <v>1144.5</v>
      </c>
      <c r="D40" s="15">
        <v>1113</v>
      </c>
      <c r="E40" s="15"/>
    </row>
    <row r="41" spans="1:5" x14ac:dyDescent="0.2">
      <c r="A41" s="14">
        <v>39</v>
      </c>
      <c r="B41" s="15">
        <v>1174</v>
      </c>
      <c r="C41" s="15">
        <v>1796</v>
      </c>
      <c r="D41" s="15">
        <v>1639</v>
      </c>
      <c r="E41" s="15"/>
    </row>
    <row r="42" spans="1:5" x14ac:dyDescent="0.2">
      <c r="A42" s="14">
        <v>40</v>
      </c>
      <c r="B42" s="15">
        <v>2735</v>
      </c>
      <c r="C42" s="15">
        <v>1787</v>
      </c>
      <c r="D42" s="15"/>
      <c r="E42" s="15"/>
    </row>
    <row r="43" spans="1:5" x14ac:dyDescent="0.2">
      <c r="A43" s="14">
        <v>41</v>
      </c>
      <c r="B43" s="15">
        <v>1338</v>
      </c>
      <c r="C43" s="15">
        <v>1037.5</v>
      </c>
      <c r="D43" s="15"/>
      <c r="E43" s="15"/>
    </row>
    <row r="44" spans="1:5" x14ac:dyDescent="0.2">
      <c r="A44" s="14">
        <v>42</v>
      </c>
      <c r="B44" s="15">
        <v>1095</v>
      </c>
      <c r="C44" s="15">
        <v>2914</v>
      </c>
      <c r="D44" s="15"/>
      <c r="E44" s="15"/>
    </row>
    <row r="45" spans="1:5" x14ac:dyDescent="0.2">
      <c r="A45" s="14">
        <v>43</v>
      </c>
      <c r="B45" s="15">
        <v>1557</v>
      </c>
      <c r="C45" s="15">
        <v>1084</v>
      </c>
      <c r="D45" s="15"/>
      <c r="E45" s="15"/>
    </row>
    <row r="46" spans="1:5" x14ac:dyDescent="0.2">
      <c r="A46" s="14">
        <v>44</v>
      </c>
      <c r="B46" s="15">
        <v>1049</v>
      </c>
      <c r="C46" s="15">
        <v>1738</v>
      </c>
      <c r="D46" s="15"/>
      <c r="E46" s="15"/>
    </row>
    <row r="47" spans="1:5" x14ac:dyDescent="0.2">
      <c r="A47" s="14">
        <v>45</v>
      </c>
      <c r="B47" s="15">
        <v>1815</v>
      </c>
      <c r="C47" s="15">
        <v>2459</v>
      </c>
      <c r="D47" s="15"/>
      <c r="E47" s="15"/>
    </row>
    <row r="48" spans="1:5" x14ac:dyDescent="0.2">
      <c r="A48" s="14">
        <v>46</v>
      </c>
      <c r="B48" s="15">
        <v>1344</v>
      </c>
      <c r="C48" s="15">
        <v>1686</v>
      </c>
      <c r="D48" s="15"/>
      <c r="E48" s="15"/>
    </row>
    <row r="49" spans="1:5" x14ac:dyDescent="0.2">
      <c r="A49" s="14">
        <v>47</v>
      </c>
      <c r="B49" s="15">
        <v>1334</v>
      </c>
      <c r="C49" s="15">
        <v>1329</v>
      </c>
      <c r="D49" s="15"/>
      <c r="E49" s="15"/>
    </row>
    <row r="50" spans="1:5" x14ac:dyDescent="0.2">
      <c r="A50" s="14">
        <v>48</v>
      </c>
      <c r="B50" s="15">
        <v>939</v>
      </c>
      <c r="C50" s="15">
        <v>1335</v>
      </c>
      <c r="D50" s="15"/>
      <c r="E50" s="15"/>
    </row>
    <row r="51" spans="1:5" x14ac:dyDescent="0.2">
      <c r="A51" s="14">
        <v>49</v>
      </c>
      <c r="B51" s="15">
        <v>3648</v>
      </c>
      <c r="C51" s="15">
        <v>1124</v>
      </c>
      <c r="D51" s="15"/>
      <c r="E51" s="15"/>
    </row>
    <row r="52" spans="1:5" x14ac:dyDescent="0.2">
      <c r="A52" s="14">
        <v>50</v>
      </c>
      <c r="B52" s="15">
        <v>1122</v>
      </c>
      <c r="C52" s="15">
        <v>1538</v>
      </c>
      <c r="D52" s="15"/>
      <c r="E52" s="15"/>
    </row>
    <row r="53" spans="1:5" x14ac:dyDescent="0.2">
      <c r="A53" s="14">
        <v>51</v>
      </c>
      <c r="B53" s="15">
        <v>1271</v>
      </c>
      <c r="C53" s="15">
        <v>1107</v>
      </c>
      <c r="D53" s="15"/>
      <c r="E53" s="15"/>
    </row>
    <row r="54" spans="1:5" x14ac:dyDescent="0.2">
      <c r="A54" s="14">
        <v>52</v>
      </c>
      <c r="B54" s="15">
        <v>1295</v>
      </c>
      <c r="C54" s="15">
        <v>1346</v>
      </c>
      <c r="D54" s="15"/>
      <c r="E54" s="15"/>
    </row>
    <row r="55" spans="1:5" x14ac:dyDescent="0.2">
      <c r="A55" s="14">
        <v>53</v>
      </c>
      <c r="B55" s="15">
        <v>1291</v>
      </c>
      <c r="C55" s="15">
        <v>1744.5</v>
      </c>
      <c r="D55" s="15"/>
      <c r="E55" s="15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Title</vt:lpstr>
      <vt:lpstr>Balance Sheet</vt:lpstr>
      <vt:lpstr>Income_Expense Summary</vt:lpstr>
      <vt:lpstr>P&amp;L YTD</vt:lpstr>
      <vt:lpstr>P&amp;L Month </vt:lpstr>
      <vt:lpstr>Balance Sheet (2)</vt:lpstr>
      <vt:lpstr>Cash Flow (2)</vt:lpstr>
      <vt:lpstr>2003_4_5YTD</vt:lpstr>
      <vt:lpstr>Revs &amp; Exps</vt:lpstr>
      <vt:lpstr>Net Revs</vt:lpstr>
      <vt:lpstr>Pledge by Week</vt:lpstr>
      <vt:lpstr>Pledge By Month</vt:lpstr>
      <vt:lpstr>Cumm Pledge</vt:lpstr>
      <vt:lpstr>'Cash Flow (2)'!Print_Area</vt:lpstr>
      <vt:lpstr>Title!Print_Area</vt:lpstr>
    </vt:vector>
  </TitlesOfParts>
  <Company>Nobody's 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Burke</dc:creator>
  <cp:lastModifiedBy>Keith Kampert</cp:lastModifiedBy>
  <cp:lastPrinted>2013-09-07T00:53:24Z</cp:lastPrinted>
  <dcterms:created xsi:type="dcterms:W3CDTF">2003-08-12T04:15:32Z</dcterms:created>
  <dcterms:modified xsi:type="dcterms:W3CDTF">2014-05-16T16:52:18Z</dcterms:modified>
</cp:coreProperties>
</file>